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 activeTab="2"/>
  </bookViews>
  <sheets>
    <sheet name="Permu-Combo-Binomial-Poisson" sheetId="1" r:id="rId1"/>
    <sheet name="Frequency and Probability Distr" sheetId="3" r:id="rId2"/>
    <sheet name="Norm Dist. &amp; Confidence &amp; Hypot" sheetId="4" r:id="rId3"/>
    <sheet name="Hypothesis Testing" sheetId="5" r:id="rId4"/>
  </sheets>
  <calcPr calcId="145621"/>
</workbook>
</file>

<file path=xl/calcChain.xml><?xml version="1.0" encoding="utf-8"?>
<calcChain xmlns="http://schemas.openxmlformats.org/spreadsheetml/2006/main">
  <c r="I23" i="4" l="1"/>
  <c r="Q16" i="4" l="1"/>
  <c r="I10" i="4"/>
  <c r="H3" i="1"/>
  <c r="I19" i="4"/>
  <c r="B31" i="3"/>
  <c r="C27" i="3"/>
  <c r="S5" i="4" l="1"/>
  <c r="S17" i="4"/>
  <c r="S16" i="4"/>
  <c r="P16" i="4"/>
  <c r="P19" i="4" s="1"/>
  <c r="D7" i="4" l="1"/>
  <c r="O22" i="4"/>
  <c r="O21" i="4"/>
  <c r="R5" i="4"/>
  <c r="T6" i="4" s="1"/>
  <c r="O23" i="4" l="1"/>
  <c r="O24" i="4" s="1"/>
  <c r="O25" i="4" s="1"/>
  <c r="L30" i="4"/>
  <c r="D18" i="4"/>
  <c r="D20" i="4" s="1"/>
  <c r="D16" i="4"/>
  <c r="D19" i="4" l="1"/>
  <c r="R17" i="4"/>
  <c r="D21" i="4"/>
  <c r="C28" i="4"/>
  <c r="C23" i="4"/>
  <c r="N23" i="4"/>
  <c r="N24" i="4" s="1"/>
  <c r="N25" i="4" s="1"/>
  <c r="I15" i="4"/>
  <c r="I25" i="4" l="1"/>
  <c r="I24" i="4"/>
  <c r="I21" i="4"/>
  <c r="I13" i="4"/>
  <c r="I14" i="4"/>
  <c r="R7" i="4" s="1"/>
  <c r="I26" i="4" l="1"/>
  <c r="I20" i="4"/>
  <c r="M7" i="4"/>
  <c r="C29" i="4" s="1"/>
  <c r="M10" i="4"/>
  <c r="M11" i="4" s="1"/>
  <c r="M14" i="4" s="1"/>
  <c r="I16" i="4"/>
  <c r="I8" i="4"/>
  <c r="I27" i="4" l="1"/>
  <c r="I28" i="4" s="1"/>
  <c r="C31" i="4"/>
  <c r="C33" i="4" s="1"/>
  <c r="I9" i="4"/>
  <c r="M17" i="4"/>
  <c r="C30" i="4"/>
  <c r="M16" i="4"/>
  <c r="M12" i="4"/>
  <c r="M13" i="4"/>
  <c r="I31" i="4"/>
  <c r="M19" i="4"/>
  <c r="D8" i="4"/>
  <c r="D11" i="4"/>
  <c r="D12" i="4" s="1"/>
  <c r="C32" i="4" l="1"/>
  <c r="I29" i="4"/>
  <c r="M18" i="4"/>
  <c r="M21" i="4"/>
  <c r="M22" i="4"/>
  <c r="D10" i="4"/>
  <c r="D13" i="4"/>
  <c r="M23" i="4" l="1"/>
  <c r="M24" i="4" s="1"/>
  <c r="M25" i="4" s="1"/>
  <c r="J27" i="3"/>
  <c r="H17" i="3"/>
  <c r="C22" i="3" s="1"/>
  <c r="C19" i="3"/>
  <c r="C18" i="3"/>
  <c r="C17" i="3"/>
  <c r="C13" i="3"/>
  <c r="C9" i="3"/>
  <c r="C5" i="3"/>
  <c r="I6" i="3" l="1"/>
  <c r="J6" i="3" s="1"/>
  <c r="I5" i="3"/>
  <c r="J5" i="3" s="1"/>
  <c r="I9" i="3"/>
  <c r="J9" i="3" s="1"/>
  <c r="I13" i="3"/>
  <c r="J13" i="3" s="1"/>
  <c r="I4" i="3"/>
  <c r="J4" i="3" s="1"/>
  <c r="I7" i="3"/>
  <c r="J7" i="3" s="1"/>
  <c r="I11" i="3"/>
  <c r="J11" i="3" s="1"/>
  <c r="I15" i="3"/>
  <c r="J15" i="3" s="1"/>
  <c r="I16" i="3"/>
  <c r="J16" i="3" s="1"/>
  <c r="I14" i="3"/>
  <c r="J14" i="3" s="1"/>
  <c r="I12" i="3"/>
  <c r="J12" i="3" s="1"/>
  <c r="I10" i="3"/>
  <c r="J10" i="3" s="1"/>
  <c r="I8" i="3"/>
  <c r="J8" i="3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E19" i="1"/>
  <c r="E20" i="1" s="1"/>
  <c r="E18" i="1"/>
  <c r="E21" i="1" s="1"/>
  <c r="F4" i="1"/>
  <c r="H4" i="1"/>
  <c r="E12" i="1"/>
  <c r="E6" i="1"/>
  <c r="E2" i="1"/>
  <c r="J17" i="3" l="1"/>
  <c r="C23" i="3" s="1"/>
  <c r="I17" i="3"/>
  <c r="H5" i="1"/>
  <c r="H14" i="1"/>
  <c r="H12" i="1"/>
  <c r="H10" i="1"/>
  <c r="H8" i="1"/>
  <c r="H6" i="1"/>
  <c r="H13" i="1"/>
  <c r="H11" i="1"/>
  <c r="H9" i="1"/>
  <c r="H7" i="1"/>
  <c r="K5" i="3" l="1"/>
  <c r="L5" i="3" s="1"/>
  <c r="M5" i="3" s="1"/>
  <c r="K7" i="3"/>
  <c r="K9" i="3"/>
  <c r="K11" i="3"/>
  <c r="K13" i="3"/>
  <c r="L13" i="3" s="1"/>
  <c r="M13" i="3" s="1"/>
  <c r="K15" i="3"/>
  <c r="K4" i="3"/>
  <c r="L4" i="3" s="1"/>
  <c r="M4" i="3" s="1"/>
  <c r="K6" i="3"/>
  <c r="K8" i="3"/>
  <c r="L8" i="3" s="1"/>
  <c r="M8" i="3" s="1"/>
  <c r="K10" i="3"/>
  <c r="K12" i="3"/>
  <c r="L12" i="3" s="1"/>
  <c r="M12" i="3" s="1"/>
  <c r="K14" i="3"/>
  <c r="K16" i="3"/>
  <c r="L16" i="3" s="1"/>
  <c r="M16" i="3" s="1"/>
  <c r="I20" i="3"/>
  <c r="L9" i="3"/>
  <c r="M9" i="3" s="1"/>
  <c r="L14" i="3"/>
  <c r="M14" i="3" s="1"/>
  <c r="L10" i="3"/>
  <c r="M10" i="3" s="1"/>
  <c r="L6" i="3"/>
  <c r="M6" i="3" s="1"/>
  <c r="L15" i="3"/>
  <c r="M15" i="3" s="1"/>
  <c r="L11" i="3"/>
  <c r="M11" i="3" s="1"/>
  <c r="L7" i="3"/>
  <c r="M7" i="3" s="1"/>
  <c r="M17" i="3" l="1"/>
  <c r="C24" i="3" s="1"/>
  <c r="C25" i="3" s="1"/>
  <c r="I25" i="3" s="1"/>
  <c r="I23" i="3" l="1"/>
  <c r="I22" i="3"/>
  <c r="I21" i="3"/>
  <c r="I26" i="3" l="1"/>
  <c r="I24" i="3"/>
</calcChain>
</file>

<file path=xl/sharedStrings.xml><?xml version="1.0" encoding="utf-8"?>
<sst xmlns="http://schemas.openxmlformats.org/spreadsheetml/2006/main" count="217" uniqueCount="196">
  <si>
    <t xml:space="preserve">Permutations: </t>
  </si>
  <si>
    <t xml:space="preserve">Number of Permutations: </t>
  </si>
  <si>
    <t>Number Chosen:</t>
  </si>
  <si>
    <t xml:space="preserve">Number: </t>
  </si>
  <si>
    <t>Combinations:</t>
  </si>
  <si>
    <t xml:space="preserve">Number of Combinations: </t>
  </si>
  <si>
    <t xml:space="preserve">Number Chosen: </t>
  </si>
  <si>
    <t>Number</t>
  </si>
  <si>
    <t>Binomial Distribution:</t>
  </si>
  <si>
    <t>Number of Succeses:</t>
  </si>
  <si>
    <t>Number of Attempt:</t>
  </si>
  <si>
    <t>Historical Probability:</t>
  </si>
  <si>
    <t>Cumulative:</t>
  </si>
  <si>
    <t>Binomial Probability:</t>
  </si>
  <si>
    <t>Binomial Distribution Table</t>
  </si>
  <si>
    <t>N of Attempts</t>
  </si>
  <si>
    <t>N of Success</t>
  </si>
  <si>
    <t xml:space="preserve">Binomial Mean: </t>
  </si>
  <si>
    <t xml:space="preserve">Binomial Variance: </t>
  </si>
  <si>
    <t>Binomial Standard Deviation:</t>
  </si>
  <si>
    <t>Answer</t>
  </si>
  <si>
    <t>Variable</t>
  </si>
  <si>
    <t>Don't Change</t>
  </si>
  <si>
    <t>Poisson Distribution:</t>
  </si>
  <si>
    <t>Prob. %</t>
  </si>
  <si>
    <t>Poisson Distribution Table</t>
  </si>
  <si>
    <t>Mean Number:</t>
  </si>
  <si>
    <t>Number of X</t>
  </si>
  <si>
    <t>Probability</t>
  </si>
  <si>
    <t xml:space="preserve">Frequency Distributions: </t>
  </si>
  <si>
    <t xml:space="preserve">Lowest Number: </t>
  </si>
  <si>
    <t xml:space="preserve">Highest Number: </t>
  </si>
  <si>
    <t xml:space="preserve">Range: </t>
  </si>
  <si>
    <t>Lower Class Range 1:</t>
  </si>
  <si>
    <t>Lower Class Range 2:</t>
  </si>
  <si>
    <t>Class Width:</t>
  </si>
  <si>
    <t>Class Frequency:</t>
  </si>
  <si>
    <t>Sample Size:</t>
  </si>
  <si>
    <t>Relative Frequency:</t>
  </si>
  <si>
    <t>Lower Range:</t>
  </si>
  <si>
    <t>Upper Range:</t>
  </si>
  <si>
    <t xml:space="preserve">Class Midpoint: </t>
  </si>
  <si>
    <t>Upper Class Boundary:</t>
  </si>
  <si>
    <t>Lower Class Boundary:</t>
  </si>
  <si>
    <t>Data Entry Area:</t>
  </si>
  <si>
    <t>Sample or Population Size:</t>
  </si>
  <si>
    <t>Variance:</t>
  </si>
  <si>
    <t>Standard Deviation:</t>
  </si>
  <si>
    <t>SUM:</t>
  </si>
  <si>
    <t>X - Mean</t>
  </si>
  <si>
    <t>(X-Mean)^2</t>
  </si>
  <si>
    <t>((X-Mean)^2 * Prob)</t>
  </si>
  <si>
    <t>Probability Distributions:</t>
  </si>
  <si>
    <t>Emperical Rule:</t>
  </si>
  <si>
    <t xml:space="preserve">Mean: </t>
  </si>
  <si>
    <t>1+ Std Dev.</t>
  </si>
  <si>
    <t xml:space="preserve">1- Std. Dev. </t>
  </si>
  <si>
    <t>2+ Std. Dev.</t>
  </si>
  <si>
    <t>2- Std. Dev.</t>
  </si>
  <si>
    <t>3+ Std. Dev.</t>
  </si>
  <si>
    <t xml:space="preserve">3- Std. Dev. </t>
  </si>
  <si>
    <t>Normal Distribution</t>
  </si>
  <si>
    <t>Z = Standard Score = 0 Z = Mean</t>
  </si>
  <si>
    <t>z Score = X - Mean / Standard Deviation</t>
  </si>
  <si>
    <t>Bell Curve Normal Distribution Statistics</t>
  </si>
  <si>
    <t xml:space="preserve">Center Bell = Mean </t>
  </si>
  <si>
    <t>Between   Two Numbers</t>
  </si>
  <si>
    <t>(Left Side) or First Number</t>
  </si>
  <si>
    <t xml:space="preserve">Zscore </t>
  </si>
  <si>
    <t xml:space="preserve"> (Right Side) or Second Number</t>
  </si>
  <si>
    <t>Standard Deviation</t>
  </si>
  <si>
    <t>Norm Distribution:</t>
  </si>
  <si>
    <t>Zscore</t>
  </si>
  <si>
    <t>Right Side Only:</t>
  </si>
  <si>
    <t>Locating X Value using Z Score</t>
  </si>
  <si>
    <t>Z(SD)+ Mean = X Value</t>
  </si>
  <si>
    <t>Given Z Score</t>
  </si>
  <si>
    <t>X Value</t>
  </si>
  <si>
    <t>X(Inverse Normal Distribution)</t>
  </si>
  <si>
    <t xml:space="preserve">Sample Size: </t>
  </si>
  <si>
    <t>Umean</t>
  </si>
  <si>
    <t>Standard Deviation Mean</t>
  </si>
  <si>
    <t>Z - Score</t>
  </si>
  <si>
    <t>Confidence Interval Specific</t>
  </si>
  <si>
    <t>Percentage:</t>
  </si>
  <si>
    <t>50% of Confidence</t>
  </si>
  <si>
    <t>Confidence Level</t>
  </si>
  <si>
    <t xml:space="preserve">Level of Confidence </t>
  </si>
  <si>
    <t>Confidence Level - Defaults</t>
  </si>
  <si>
    <t>Confidence Interval Upper</t>
  </si>
  <si>
    <t>Confidence Interval Lower</t>
  </si>
  <si>
    <t xml:space="preserve">Confidence Interval Range </t>
  </si>
  <si>
    <t>Alpha:</t>
  </si>
  <si>
    <t>Margin of Error</t>
  </si>
  <si>
    <t>Determing N for Sample Size</t>
  </si>
  <si>
    <t>Sample Size</t>
  </si>
  <si>
    <t>Class Label (X)</t>
  </si>
  <si>
    <t>X*P(x)</t>
  </si>
  <si>
    <t>Prob. Dist(%):Rel Freq: P(x)</t>
  </si>
  <si>
    <t>Z Score based on Probability</t>
  </si>
  <si>
    <t>Normal Distribution Inverse Functions</t>
  </si>
  <si>
    <t>Confidence Level:</t>
  </si>
  <si>
    <t>Proportion Confidence Interval</t>
  </si>
  <si>
    <t>Number of Events</t>
  </si>
  <si>
    <t>Percentage of Number of Events</t>
  </si>
  <si>
    <t>Lower Percentage Range</t>
  </si>
  <si>
    <t>Upper Percentage Range</t>
  </si>
  <si>
    <t>Unkown Proportion</t>
  </si>
  <si>
    <t>Level of Confidence</t>
  </si>
  <si>
    <t>Manual</t>
  </si>
  <si>
    <t>Est. Mean</t>
  </si>
  <si>
    <t>Confidence T</t>
  </si>
  <si>
    <t xml:space="preserve">Degree of Freedom </t>
  </si>
  <si>
    <t>Manual T Table Lookup</t>
  </si>
  <si>
    <t>T Table</t>
  </si>
  <si>
    <t>P-Hat</t>
  </si>
  <si>
    <t>N*P-Hat</t>
  </si>
  <si>
    <t>N*Q-Hat</t>
  </si>
  <si>
    <t>Q-Hat</t>
  </si>
  <si>
    <t xml:space="preserve">Given Percentage: </t>
  </si>
  <si>
    <t>Q of Given Percentaage</t>
  </si>
  <si>
    <t>Minimum Sample Size</t>
  </si>
  <si>
    <t>No Preliminary Value</t>
  </si>
  <si>
    <t>Margin of Error €</t>
  </si>
  <si>
    <t>Lower Level</t>
  </si>
  <si>
    <t>Upper Level</t>
  </si>
  <si>
    <t>Confidence Given Percentage</t>
  </si>
  <si>
    <t xml:space="preserve">First Zscore </t>
  </si>
  <si>
    <t>Z Score Probability</t>
  </si>
  <si>
    <t>Between Two Z Scores</t>
  </si>
  <si>
    <t>Second Z Score (Right Side Only)</t>
  </si>
  <si>
    <t>Right Side Only</t>
  </si>
  <si>
    <t>Standard Normal Curve (Given Z Scores)</t>
  </si>
  <si>
    <t xml:space="preserve">Number in Question </t>
  </si>
  <si>
    <t>Standard Deviation Given Value and Variance</t>
  </si>
  <si>
    <t>Variance</t>
  </si>
  <si>
    <t>T Table and Degree of Freedom</t>
  </si>
  <si>
    <t>Specific Confidence Levels</t>
  </si>
  <si>
    <t xml:space="preserve">Default Results </t>
  </si>
  <si>
    <t>Desired Margin of Error : E</t>
  </si>
  <si>
    <t>Probability Rate:  P</t>
  </si>
  <si>
    <t>Degree of Freedom</t>
  </si>
  <si>
    <t xml:space="preserve">One Tail </t>
  </si>
  <si>
    <t>Two Tail</t>
  </si>
  <si>
    <t>Null (H0) Ho &lt;= :</t>
  </si>
  <si>
    <t>Alternate (H1) ha &gt; :</t>
  </si>
  <si>
    <t>Significance level:</t>
  </si>
  <si>
    <t xml:space="preserve">Step 1: </t>
  </si>
  <si>
    <t>Null H0 (Ho):</t>
  </si>
  <si>
    <t>Alt Ha (H1):</t>
  </si>
  <si>
    <t>Step 2:</t>
  </si>
  <si>
    <t>Significance(Alpha)</t>
  </si>
  <si>
    <t>Step 3 Two/One tailed</t>
  </si>
  <si>
    <t xml:space="preserve">Answer : </t>
  </si>
  <si>
    <t xml:space="preserve">Step 4 </t>
  </si>
  <si>
    <t>Large/Small Z/T</t>
  </si>
  <si>
    <t>Critical Value</t>
  </si>
  <si>
    <t>Step 7 Test Statistic</t>
  </si>
  <si>
    <t>Test Result</t>
  </si>
  <si>
    <t>Step 8 Make A Decision:</t>
  </si>
  <si>
    <t>P- Value Likely hood that H0 is false if P &lt; .10</t>
  </si>
  <si>
    <t>Step 5 Determine Critical Value</t>
  </si>
  <si>
    <t>Step 6 Formulate Decision rule</t>
  </si>
  <si>
    <t xml:space="preserve">Decision rule </t>
  </si>
  <si>
    <t>Probability of Test result</t>
  </si>
  <si>
    <t>H1 : U &gt;= X = Right Tail</t>
  </si>
  <si>
    <t>H1: U &lt;= X = Left Tail</t>
  </si>
  <si>
    <t>H1 : U = X = Dual Tail</t>
  </si>
  <si>
    <t>H0 &gt; 22100</t>
  </si>
  <si>
    <t>H1 &lt;= 22100</t>
  </si>
  <si>
    <t>One Tailed (Left)</t>
  </si>
  <si>
    <t>T (18 is less than 30)</t>
  </si>
  <si>
    <t>If Z score is &gt; -1.64 Fail to Reject</t>
  </si>
  <si>
    <t>3.67 is &gt; -1.65 Fail to reject</t>
  </si>
  <si>
    <t>Claim (U)</t>
  </si>
  <si>
    <t>Critical Values</t>
  </si>
  <si>
    <t>Plus/Minus</t>
  </si>
  <si>
    <t>P-Value</t>
  </si>
  <si>
    <t xml:space="preserve">Right Tail </t>
  </si>
  <si>
    <t xml:space="preserve">T table </t>
  </si>
  <si>
    <t>P</t>
  </si>
  <si>
    <t>q</t>
  </si>
  <si>
    <t>z</t>
  </si>
  <si>
    <t>Standard Deviation Given Variance</t>
  </si>
  <si>
    <t xml:space="preserve">Variance </t>
  </si>
  <si>
    <t xml:space="preserve">Y-Hat (Slope) = Yhat = value1 + Value2(x1) + Value3(x2)………. </t>
  </si>
  <si>
    <t>Value 1</t>
  </si>
  <si>
    <t>Value 2</t>
  </si>
  <si>
    <t>Value 3</t>
  </si>
  <si>
    <t>X1</t>
  </si>
  <si>
    <t>X2</t>
  </si>
  <si>
    <t>X3</t>
  </si>
  <si>
    <t>Current Equation</t>
  </si>
  <si>
    <t>r^2</t>
  </si>
  <si>
    <t>Mean /Expected Value :</t>
  </si>
  <si>
    <t>Freq(P)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</si>
</sst>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0.000"/>
    <numFmt numFmtId="166" formatCode="0.0000"/>
  </numFmts>
  <fonts count="6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NumberFormat="1"/>
    <xf numFmtId="0" fontId="0" fillId="4" borderId="0" xfId="0" applyFill="1"/>
    <xf numFmtId="0" fontId="0" fillId="5" borderId="0" xfId="0" applyFill="1"/>
    <xf numFmtId="164" fontId="0" fillId="5" borderId="0" xfId="0" applyNumberFormat="1" applyFill="1"/>
    <xf numFmtId="0" fontId="0" fillId="5" borderId="0" xfId="0" applyFill="1" applyBorder="1"/>
    <xf numFmtId="164" fontId="0" fillId="5" borderId="0" xfId="0" applyNumberFormat="1" applyFill="1" applyBorder="1"/>
    <xf numFmtId="0" fontId="0" fillId="0" borderId="2" xfId="0" applyBorder="1"/>
    <xf numFmtId="0" fontId="0" fillId="5" borderId="0" xfId="0" applyFill="1" applyBorder="1" applyAlignment="1">
      <alignment horizontal="center"/>
    </xf>
    <xf numFmtId="0" fontId="0" fillId="5" borderId="0" xfId="0" applyNumberFormat="1" applyFill="1" applyBorder="1"/>
    <xf numFmtId="0" fontId="0" fillId="0" borderId="2" xfId="0" applyNumberFormat="1" applyBorder="1"/>
    <xf numFmtId="0" fontId="0" fillId="3" borderId="0" xfId="0" applyNumberFormat="1" applyFill="1"/>
    <xf numFmtId="165" fontId="0" fillId="5" borderId="0" xfId="0" applyNumberFormat="1" applyFill="1"/>
    <xf numFmtId="0" fontId="0" fillId="7" borderId="0" xfId="0" applyFill="1"/>
    <xf numFmtId="0" fontId="0" fillId="7" borderId="0" xfId="0" applyNumberFormat="1" applyFill="1" applyBorder="1" applyAlignment="1">
      <alignment horizontal="center"/>
    </xf>
    <xf numFmtId="0" fontId="0" fillId="7" borderId="0" xfId="0" applyNumberFormat="1" applyFill="1"/>
    <xf numFmtId="0" fontId="0" fillId="7" borderId="1" xfId="0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0" fillId="7" borderId="1" xfId="0" applyFill="1" applyBorder="1"/>
    <xf numFmtId="0" fontId="2" fillId="6" borderId="0" xfId="0" applyFont="1" applyFill="1"/>
    <xf numFmtId="0" fontId="0" fillId="6" borderId="0" xfId="0" applyNumberFormat="1" applyFill="1" applyBorder="1"/>
    <xf numFmtId="0" fontId="0" fillId="6" borderId="0" xfId="0" applyFill="1" applyBorder="1"/>
    <xf numFmtId="0" fontId="0" fillId="7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165" fontId="0" fillId="5" borderId="0" xfId="0" applyNumberFormat="1" applyFill="1" applyBorder="1"/>
    <xf numFmtId="0" fontId="0" fillId="8" borderId="1" xfId="0" applyFill="1" applyBorder="1"/>
    <xf numFmtId="0" fontId="0" fillId="8" borderId="4" xfId="0" applyFill="1" applyBorder="1"/>
    <xf numFmtId="0" fontId="0" fillId="9" borderId="0" xfId="0" applyFill="1"/>
    <xf numFmtId="0" fontId="3" fillId="10" borderId="15" xfId="0" applyFont="1" applyFill="1" applyBorder="1"/>
    <xf numFmtId="0" fontId="3" fillId="10" borderId="16" xfId="0" applyFont="1" applyFill="1" applyBorder="1"/>
    <xf numFmtId="0" fontId="3" fillId="10" borderId="17" xfId="0" applyFont="1" applyFill="1" applyBorder="1"/>
    <xf numFmtId="0" fontId="3" fillId="10" borderId="18" xfId="0" applyFont="1" applyFill="1" applyBorder="1"/>
    <xf numFmtId="9" fontId="3" fillId="10" borderId="0" xfId="0" applyNumberFormat="1" applyFont="1" applyFill="1" applyBorder="1"/>
    <xf numFmtId="0" fontId="3" fillId="10" borderId="19" xfId="0" applyFont="1" applyFill="1" applyBorder="1"/>
    <xf numFmtId="0" fontId="3" fillId="10" borderId="20" xfId="0" applyFont="1" applyFill="1" applyBorder="1"/>
    <xf numFmtId="9" fontId="3" fillId="10" borderId="21" xfId="0" applyNumberFormat="1" applyFont="1" applyFill="1" applyBorder="1"/>
    <xf numFmtId="0" fontId="3" fillId="10" borderId="22" xfId="0" applyFont="1" applyFill="1" applyBorder="1"/>
    <xf numFmtId="9" fontId="0" fillId="9" borderId="0" xfId="0" applyNumberFormat="1" applyFill="1"/>
    <xf numFmtId="0" fontId="0" fillId="9" borderId="0" xfId="0" applyFill="1" applyProtection="1"/>
    <xf numFmtId="166" fontId="0" fillId="9" borderId="0" xfId="0" applyNumberFormat="1" applyFill="1"/>
    <xf numFmtId="0" fontId="2" fillId="9" borderId="0" xfId="0" applyFont="1" applyFill="1"/>
    <xf numFmtId="0" fontId="0" fillId="0" borderId="0" xfId="0" applyFont="1" applyFill="1" applyBorder="1"/>
    <xf numFmtId="0" fontId="0" fillId="0" borderId="0" xfId="0" applyFill="1" applyBorder="1"/>
    <xf numFmtId="0" fontId="0" fillId="9" borderId="0" xfId="0" applyFill="1" applyProtection="1">
      <protection locked="0"/>
    </xf>
    <xf numFmtId="164" fontId="0" fillId="9" borderId="0" xfId="0" applyNumberFormat="1" applyFill="1" applyProtection="1"/>
    <xf numFmtId="0" fontId="0" fillId="9" borderId="0" xfId="0" applyNumberFormat="1" applyFill="1" applyProtection="1"/>
    <xf numFmtId="165" fontId="0" fillId="9" borderId="0" xfId="0" applyNumberFormat="1" applyFill="1"/>
    <xf numFmtId="165" fontId="0" fillId="9" borderId="0" xfId="0" applyNumberFormat="1" applyFill="1" applyBorder="1"/>
    <xf numFmtId="0" fontId="0" fillId="9" borderId="8" xfId="0" applyFill="1" applyBorder="1"/>
    <xf numFmtId="0" fontId="0" fillId="9" borderId="9" xfId="0" applyFill="1" applyBorder="1"/>
    <xf numFmtId="0" fontId="0" fillId="9" borderId="0" xfId="0" applyFill="1" applyBorder="1"/>
    <xf numFmtId="0" fontId="0" fillId="9" borderId="10" xfId="0" applyFill="1" applyBorder="1"/>
    <xf numFmtId="0" fontId="0" fillId="9" borderId="2" xfId="0" applyFill="1" applyBorder="1"/>
    <xf numFmtId="0" fontId="0" fillId="9" borderId="11" xfId="0" applyFill="1" applyBorder="1"/>
    <xf numFmtId="0" fontId="0" fillId="9" borderId="1" xfId="0" applyFill="1" applyBorder="1"/>
    <xf numFmtId="0" fontId="0" fillId="9" borderId="4" xfId="0" applyFill="1" applyBorder="1"/>
    <xf numFmtId="0" fontId="0" fillId="9" borderId="14" xfId="0" applyFill="1" applyBorder="1"/>
    <xf numFmtId="0" fontId="0" fillId="9" borderId="12" xfId="0" applyFill="1" applyBorder="1"/>
    <xf numFmtId="0" fontId="0" fillId="9" borderId="13" xfId="0" applyFill="1" applyBorder="1"/>
    <xf numFmtId="10" fontId="0" fillId="9" borderId="1" xfId="0" applyNumberFormat="1" applyFill="1" applyBorder="1"/>
    <xf numFmtId="0" fontId="0" fillId="11" borderId="0" xfId="0" applyFill="1"/>
    <xf numFmtId="0" fontId="0" fillId="11" borderId="0" xfId="0" applyFill="1" applyBorder="1"/>
    <xf numFmtId="0" fontId="5" fillId="9" borderId="0" xfId="0" applyFont="1" applyFill="1"/>
    <xf numFmtId="0" fontId="0" fillId="0" borderId="0" xfId="0" applyFill="1"/>
    <xf numFmtId="9" fontId="0" fillId="11" borderId="0" xfId="0" applyNumberFormat="1" applyFill="1"/>
    <xf numFmtId="0" fontId="0" fillId="11" borderId="1" xfId="0" applyFill="1" applyBorder="1"/>
    <xf numFmtId="0" fontId="0" fillId="11" borderId="1" xfId="0" applyFont="1" applyFill="1" applyBorder="1"/>
    <xf numFmtId="0" fontId="0" fillId="11" borderId="4" xfId="0" applyFill="1" applyBorder="1"/>
    <xf numFmtId="0" fontId="0" fillId="11" borderId="3" xfId="0" applyFill="1" applyBorder="1"/>
    <xf numFmtId="0" fontId="0" fillId="11" borderId="8" xfId="0" applyFill="1" applyBorder="1"/>
    <xf numFmtId="0" fontId="0" fillId="9" borderId="3" xfId="0" applyFill="1" applyBorder="1"/>
    <xf numFmtId="0" fontId="0" fillId="0" borderId="4" xfId="0" applyFill="1" applyBorder="1"/>
    <xf numFmtId="165" fontId="0" fillId="11" borderId="0" xfId="0" applyNumberFormat="1" applyFill="1" applyBorder="1"/>
    <xf numFmtId="0" fontId="0" fillId="11" borderId="9" xfId="0" applyFill="1" applyBorder="1"/>
    <xf numFmtId="0" fontId="0" fillId="11" borderId="0" xfId="0" applyNumberFormat="1" applyFill="1" applyBorder="1"/>
    <xf numFmtId="2" fontId="0" fillId="5" borderId="0" xfId="0" applyNumberFormat="1" applyFill="1" applyBorder="1"/>
    <xf numFmtId="0" fontId="3" fillId="10" borderId="0" xfId="0" applyFont="1" applyFill="1"/>
    <xf numFmtId="165" fontId="3" fillId="10" borderId="0" xfId="0" applyNumberFormat="1" applyFont="1" applyFill="1"/>
    <xf numFmtId="0" fontId="4" fillId="0" borderId="0" xfId="0" applyFont="1" applyFill="1"/>
    <xf numFmtId="0" fontId="0" fillId="0" borderId="0" xfId="0" applyFont="1" applyFill="1"/>
    <xf numFmtId="1" fontId="0" fillId="11" borderId="0" xfId="0" applyNumberFormat="1" applyFill="1"/>
    <xf numFmtId="2" fontId="0" fillId="5" borderId="0" xfId="0" applyNumberFormat="1" applyFill="1"/>
    <xf numFmtId="2" fontId="0" fillId="0" borderId="0" xfId="0" applyNumberFormat="1"/>
    <xf numFmtId="2" fontId="0" fillId="11" borderId="0" xfId="0" applyNumberFormat="1" applyFill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opLeftCell="B1" zoomScale="115" zoomScaleNormal="115" workbookViewId="0">
      <selection activeCell="J8" sqref="J8"/>
    </sheetView>
  </sheetViews>
  <sheetFormatPr defaultRowHeight="15" x14ac:dyDescent="0.25"/>
  <cols>
    <col min="1" max="1" width="20.5703125" customWidth="1"/>
    <col min="2" max="2" width="11.140625" customWidth="1"/>
    <col min="5" max="5" width="16.28515625" customWidth="1"/>
    <col min="6" max="6" width="12.28515625" customWidth="1"/>
    <col min="7" max="7" width="14.140625" customWidth="1"/>
    <col min="8" max="8" width="9.28515625" customWidth="1"/>
    <col min="9" max="9" width="20.7109375" customWidth="1"/>
    <col min="10" max="10" width="17.85546875" style="4" customWidth="1"/>
    <col min="11" max="11" width="19.28515625" customWidth="1"/>
    <col min="28" max="28" width="12.42578125" customWidth="1"/>
  </cols>
  <sheetData>
    <row r="1" spans="1:28" x14ac:dyDescent="0.25">
      <c r="A1" s="16" t="s">
        <v>0</v>
      </c>
      <c r="B1" s="16"/>
      <c r="C1" s="6"/>
      <c r="D1" s="6"/>
      <c r="E1" s="6"/>
      <c r="F1" s="16" t="s">
        <v>14</v>
      </c>
      <c r="G1" s="16"/>
      <c r="H1" s="16"/>
      <c r="I1" s="17" t="s">
        <v>25</v>
      </c>
      <c r="J1" s="18"/>
      <c r="K1" s="11"/>
      <c r="L1" s="8"/>
      <c r="M1" s="8"/>
      <c r="N1" s="6"/>
      <c r="O1" s="6"/>
      <c r="P1" s="6"/>
    </row>
    <row r="2" spans="1:28" x14ac:dyDescent="0.25">
      <c r="A2" s="6"/>
      <c r="B2" s="49" t="s">
        <v>1</v>
      </c>
      <c r="C2" s="49"/>
      <c r="D2" s="49"/>
      <c r="E2" s="44">
        <f>PERMUT(E4,E3)</f>
        <v>1</v>
      </c>
      <c r="F2" s="16"/>
      <c r="G2" s="16"/>
      <c r="H2" s="16" t="s">
        <v>24</v>
      </c>
      <c r="I2" s="23" t="s">
        <v>26</v>
      </c>
      <c r="J2" s="24">
        <v>7</v>
      </c>
      <c r="K2" s="8"/>
      <c r="L2" s="8"/>
      <c r="M2" s="8"/>
      <c r="N2" s="6"/>
      <c r="O2" s="6"/>
      <c r="P2" s="6"/>
    </row>
    <row r="3" spans="1:28" x14ac:dyDescent="0.25">
      <c r="A3" s="6"/>
      <c r="B3" s="66" t="s">
        <v>2</v>
      </c>
      <c r="C3" s="66"/>
      <c r="D3" s="66"/>
      <c r="E3" s="66">
        <v>0</v>
      </c>
      <c r="F3" s="16" t="s">
        <v>15</v>
      </c>
      <c r="G3" s="16" t="s">
        <v>16</v>
      </c>
      <c r="H3" s="5">
        <f>E15</f>
        <v>0.61</v>
      </c>
      <c r="I3" s="14" t="s">
        <v>12</v>
      </c>
      <c r="J3" s="3" t="b">
        <v>0</v>
      </c>
      <c r="K3" s="8"/>
      <c r="L3" s="8"/>
      <c r="M3" s="8"/>
      <c r="N3" s="6"/>
      <c r="O3" s="6"/>
      <c r="P3" s="6"/>
    </row>
    <row r="4" spans="1:28" x14ac:dyDescent="0.25">
      <c r="A4" s="6"/>
      <c r="B4" s="66" t="s">
        <v>3</v>
      </c>
      <c r="C4" s="66"/>
      <c r="D4" s="66"/>
      <c r="E4" s="66">
        <v>0</v>
      </c>
      <c r="F4" s="5">
        <f>E14</f>
        <v>7</v>
      </c>
      <c r="G4" s="66">
        <v>0</v>
      </c>
      <c r="H4" s="52">
        <f>_xlfn.BINOM.DIST($G4,$F$4,H$3,$E$16)</f>
        <v>1.3723100667899994E-3</v>
      </c>
      <c r="I4" s="18" t="s">
        <v>27</v>
      </c>
      <c r="J4" s="16" t="s">
        <v>28</v>
      </c>
      <c r="K4" s="8"/>
      <c r="L4" s="9"/>
      <c r="M4" s="9"/>
      <c r="N4" s="7"/>
      <c r="O4" s="7"/>
      <c r="P4" s="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16" t="s">
        <v>4</v>
      </c>
      <c r="B5" s="16"/>
      <c r="C5" s="6"/>
      <c r="D5" s="6"/>
      <c r="E5" s="6"/>
      <c r="F5" s="6"/>
      <c r="G5" s="66">
        <v>1</v>
      </c>
      <c r="H5" s="52">
        <f t="shared" ref="H5:H14" si="0">_xlfn.BINOM.DIST($G5,$F$4,H$3,$E$16)</f>
        <v>1.5025035859469999E-2</v>
      </c>
      <c r="I5" s="80">
        <v>0</v>
      </c>
      <c r="J5" s="53">
        <f>_xlfn.POISSON.DIST(I5,$J$2,$J$3)</f>
        <v>9.1188196555451624E-4</v>
      </c>
      <c r="K5" s="8"/>
      <c r="L5" s="9"/>
      <c r="M5" s="9"/>
      <c r="N5" s="7"/>
      <c r="O5" s="7"/>
      <c r="P5" s="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6"/>
      <c r="B6" s="49" t="s">
        <v>5</v>
      </c>
      <c r="C6" s="49"/>
      <c r="D6" s="49"/>
      <c r="E6" s="44">
        <f>COMBIN(E8,E7)</f>
        <v>435897</v>
      </c>
      <c r="F6" s="6"/>
      <c r="G6" s="66">
        <v>2</v>
      </c>
      <c r="H6" s="52">
        <f t="shared" si="0"/>
        <v>7.0502091340590045E-2</v>
      </c>
      <c r="I6" s="80">
        <v>1</v>
      </c>
      <c r="J6" s="53">
        <f t="shared" ref="J6:J18" si="1">_xlfn.POISSON.DIST(I6,$J$2,FALSE)</f>
        <v>6.3831737588816127E-3</v>
      </c>
      <c r="K6" s="8"/>
      <c r="L6" s="9"/>
      <c r="M6" s="9"/>
      <c r="N6" s="7"/>
      <c r="O6" s="7"/>
      <c r="P6" s="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6"/>
      <c r="B7" s="66" t="s">
        <v>6</v>
      </c>
      <c r="C7" s="66"/>
      <c r="D7" s="66"/>
      <c r="E7" s="66">
        <v>5</v>
      </c>
      <c r="F7" s="6"/>
      <c r="G7" s="66">
        <v>3</v>
      </c>
      <c r="H7" s="52">
        <f t="shared" si="0"/>
        <v>0.18378750306735003</v>
      </c>
      <c r="I7" s="80">
        <v>2</v>
      </c>
      <c r="J7" s="53">
        <f t="shared" si="1"/>
        <v>2.2341108156085653E-2</v>
      </c>
      <c r="K7" s="8"/>
      <c r="L7" s="9"/>
      <c r="M7" s="9"/>
      <c r="N7" s="7"/>
      <c r="O7" s="7"/>
      <c r="P7" s="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6"/>
      <c r="B8" s="66" t="s">
        <v>7</v>
      </c>
      <c r="C8" s="66"/>
      <c r="D8" s="66"/>
      <c r="E8" s="66">
        <v>37</v>
      </c>
      <c r="F8" s="6"/>
      <c r="G8" s="66">
        <v>4</v>
      </c>
      <c r="H8" s="52">
        <f t="shared" si="0"/>
        <v>0.28746250479765001</v>
      </c>
      <c r="I8" s="80">
        <v>3</v>
      </c>
      <c r="J8" s="53">
        <f t="shared" si="1"/>
        <v>5.2129252364199866E-2</v>
      </c>
      <c r="K8" s="8"/>
      <c r="L8" s="9"/>
      <c r="M8" s="9"/>
      <c r="N8" s="7"/>
      <c r="O8" s="7"/>
      <c r="P8" s="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B9" s="6"/>
      <c r="C9" s="6"/>
      <c r="D9" s="6"/>
      <c r="E9" s="6"/>
      <c r="F9" s="6"/>
      <c r="G9" s="66">
        <v>5</v>
      </c>
      <c r="H9" s="52">
        <f t="shared" si="0"/>
        <v>0.26977250450241003</v>
      </c>
      <c r="I9" s="80">
        <v>4</v>
      </c>
      <c r="J9" s="53">
        <f t="shared" si="1"/>
        <v>9.1226191637349782E-2</v>
      </c>
      <c r="K9" s="8"/>
      <c r="L9" s="9"/>
      <c r="M9" s="9"/>
      <c r="N9" s="7"/>
      <c r="O9" s="7"/>
      <c r="P9" s="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6"/>
      <c r="B10" s="6"/>
      <c r="C10" s="6"/>
      <c r="D10" s="6"/>
      <c r="E10" s="6"/>
      <c r="F10" s="6"/>
      <c r="G10" s="66">
        <v>6</v>
      </c>
      <c r="H10" s="52">
        <f t="shared" si="0"/>
        <v>0.14065062200553005</v>
      </c>
      <c r="I10" s="80">
        <v>5</v>
      </c>
      <c r="J10" s="53">
        <f t="shared" si="1"/>
        <v>0.12771666829228964</v>
      </c>
      <c r="K10" s="8"/>
      <c r="L10" s="9"/>
      <c r="M10" s="9"/>
      <c r="N10" s="7"/>
      <c r="O10" s="7"/>
      <c r="P10" s="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16" t="s">
        <v>8</v>
      </c>
      <c r="B11" s="16"/>
      <c r="C11" s="6"/>
      <c r="D11" s="6"/>
      <c r="E11" s="6"/>
      <c r="F11" s="6"/>
      <c r="G11" s="66">
        <v>7</v>
      </c>
      <c r="H11" s="52">
        <f t="shared" si="0"/>
        <v>3.1427428360209994E-2</v>
      </c>
      <c r="I11" s="80">
        <v>6</v>
      </c>
      <c r="J11" s="53">
        <f t="shared" si="1"/>
        <v>0.14900277967433789</v>
      </c>
      <c r="K11" s="8"/>
      <c r="L11" s="9"/>
      <c r="M11" s="9"/>
      <c r="N11" s="7"/>
      <c r="O11" s="7"/>
      <c r="P11" s="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6"/>
      <c r="B12" s="49" t="s">
        <v>13</v>
      </c>
      <c r="C12" s="49"/>
      <c r="D12" s="49"/>
      <c r="E12" s="50">
        <f>_xlfn.BINOM.DIST(E13,E14,E15,E16)</f>
        <v>0.18378750306735003</v>
      </c>
      <c r="F12" s="6"/>
      <c r="G12" s="66">
        <v>8</v>
      </c>
      <c r="H12" s="52" t="e">
        <f t="shared" si="0"/>
        <v>#NUM!</v>
      </c>
      <c r="I12" s="80">
        <v>7</v>
      </c>
      <c r="J12" s="53">
        <f t="shared" si="1"/>
        <v>0.14900277967433789</v>
      </c>
      <c r="K12" s="8"/>
      <c r="L12" s="9"/>
      <c r="M12" s="9"/>
      <c r="N12" s="7"/>
      <c r="O12" s="7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6"/>
      <c r="B13" s="66" t="s">
        <v>9</v>
      </c>
      <c r="C13" s="66"/>
      <c r="D13" s="66"/>
      <c r="E13" s="66">
        <v>3</v>
      </c>
      <c r="F13" s="6"/>
      <c r="G13" s="66">
        <v>9</v>
      </c>
      <c r="H13" s="52" t="e">
        <f t="shared" si="0"/>
        <v>#NUM!</v>
      </c>
      <c r="I13" s="80">
        <v>8</v>
      </c>
      <c r="J13" s="53">
        <f t="shared" si="1"/>
        <v>0.13037743221504566</v>
      </c>
      <c r="K13" s="8"/>
      <c r="L13" s="9"/>
      <c r="M13" s="9"/>
      <c r="N13" s="7"/>
      <c r="O13" s="7"/>
      <c r="P13" s="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A14" s="6"/>
      <c r="B14" s="66" t="s">
        <v>10</v>
      </c>
      <c r="C14" s="66"/>
      <c r="D14" s="66"/>
      <c r="E14" s="66">
        <v>7</v>
      </c>
      <c r="F14" s="6"/>
      <c r="G14" s="66">
        <v>10</v>
      </c>
      <c r="H14" s="52" t="e">
        <f t="shared" si="0"/>
        <v>#NUM!</v>
      </c>
      <c r="I14" s="80">
        <v>9</v>
      </c>
      <c r="J14" s="53">
        <f t="shared" si="1"/>
        <v>0.10140466950059109</v>
      </c>
      <c r="K14" s="8"/>
      <c r="L14" s="9"/>
      <c r="M14" s="9"/>
      <c r="N14" s="7"/>
      <c r="O14" s="7"/>
      <c r="P14" s="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A15" s="6"/>
      <c r="B15" s="66" t="s">
        <v>11</v>
      </c>
      <c r="C15" s="66"/>
      <c r="D15" s="66"/>
      <c r="E15" s="66">
        <v>0.61</v>
      </c>
      <c r="F15" s="6"/>
      <c r="G15" s="6"/>
      <c r="H15" s="6"/>
      <c r="I15" s="80">
        <v>10</v>
      </c>
      <c r="J15" s="53">
        <f t="shared" si="1"/>
        <v>7.0983268650413753E-2</v>
      </c>
      <c r="K15" s="8"/>
      <c r="L15" s="8"/>
      <c r="M15" s="8"/>
      <c r="N15" s="6"/>
      <c r="O15" s="6"/>
      <c r="P15" s="6"/>
    </row>
    <row r="16" spans="1:28" x14ac:dyDescent="0.25">
      <c r="A16" s="6"/>
      <c r="B16" s="5" t="s">
        <v>12</v>
      </c>
      <c r="C16" s="5"/>
      <c r="D16" s="5"/>
      <c r="E16" s="5" t="b">
        <v>0</v>
      </c>
      <c r="F16" s="6"/>
      <c r="G16" s="6"/>
      <c r="H16" s="6"/>
      <c r="I16" s="80">
        <v>11</v>
      </c>
      <c r="J16" s="53">
        <f t="shared" si="1"/>
        <v>4.5171170959354211E-2</v>
      </c>
      <c r="K16" s="8"/>
      <c r="L16" s="8"/>
      <c r="M16" s="8"/>
      <c r="N16" s="6"/>
      <c r="O16" s="6"/>
      <c r="P16" s="6"/>
    </row>
    <row r="17" spans="1:16" x14ac:dyDescent="0.25">
      <c r="A17" s="6"/>
      <c r="B17" s="6"/>
      <c r="C17" s="6"/>
      <c r="D17" s="6"/>
      <c r="E17" s="6"/>
      <c r="F17" s="6"/>
      <c r="G17" s="15"/>
      <c r="H17" s="6"/>
      <c r="I17" s="80">
        <v>12</v>
      </c>
      <c r="J17" s="53">
        <f t="shared" si="1"/>
        <v>2.6349849726289985E-2</v>
      </c>
      <c r="K17" s="8"/>
      <c r="L17" s="8"/>
      <c r="M17" s="8"/>
      <c r="N17" s="6"/>
      <c r="O17" s="6"/>
      <c r="P17" s="6"/>
    </row>
    <row r="18" spans="1:16" x14ac:dyDescent="0.25">
      <c r="A18" s="6"/>
      <c r="B18" s="49" t="s">
        <v>17</v>
      </c>
      <c r="C18" s="49"/>
      <c r="D18" s="49"/>
      <c r="E18" s="51">
        <f>E14*E15</f>
        <v>4.2699999999999996</v>
      </c>
      <c r="F18" s="15"/>
      <c r="G18" s="15"/>
      <c r="H18" s="6"/>
      <c r="I18" s="80">
        <v>13</v>
      </c>
      <c r="J18" s="53">
        <f t="shared" si="1"/>
        <v>1.4188380621848417E-2</v>
      </c>
      <c r="K18" s="8"/>
      <c r="L18" s="8"/>
      <c r="M18" s="8"/>
      <c r="N18" s="6"/>
      <c r="O18" s="6"/>
      <c r="P18" s="6"/>
    </row>
    <row r="19" spans="1:16" x14ac:dyDescent="0.25">
      <c r="A19" s="6"/>
      <c r="B19" s="49" t="s">
        <v>18</v>
      </c>
      <c r="C19" s="49"/>
      <c r="D19" s="49"/>
      <c r="E19" s="44">
        <f>E14*E15*(1-E15)</f>
        <v>1.6652999999999998</v>
      </c>
      <c r="F19" s="6"/>
      <c r="G19" s="15"/>
      <c r="H19" s="6"/>
      <c r="I19" s="6"/>
      <c r="J19" s="12"/>
      <c r="K19" s="8"/>
      <c r="L19" s="8"/>
      <c r="M19" s="8"/>
      <c r="N19" s="6"/>
      <c r="O19" s="6"/>
      <c r="P19" s="6"/>
    </row>
    <row r="20" spans="1:16" x14ac:dyDescent="0.25">
      <c r="A20" s="6"/>
      <c r="B20" s="49" t="s">
        <v>19</v>
      </c>
      <c r="C20" s="49"/>
      <c r="D20" s="49"/>
      <c r="E20" s="44">
        <f>SQRT(E19)</f>
        <v>1.2904650324592293</v>
      </c>
      <c r="F20" s="6"/>
      <c r="G20" s="6"/>
      <c r="H20" s="6"/>
      <c r="I20" s="6"/>
      <c r="J20" s="12"/>
      <c r="K20" s="8"/>
      <c r="L20" s="8"/>
      <c r="M20" s="8"/>
      <c r="N20" s="6"/>
      <c r="O20" s="6"/>
      <c r="P20" s="6"/>
    </row>
    <row r="21" spans="1:16" x14ac:dyDescent="0.25">
      <c r="B21" s="33" t="s">
        <v>23</v>
      </c>
      <c r="C21" s="33"/>
      <c r="D21" s="33"/>
      <c r="E21" s="33">
        <f>_xlfn.POISSON.DIST(E13,E18,E16)</f>
        <v>0.18142408313687725</v>
      </c>
      <c r="G21" s="6"/>
      <c r="H21" s="6"/>
      <c r="I21" s="6"/>
      <c r="J21" s="12"/>
      <c r="K21" s="8"/>
      <c r="L21" s="8"/>
      <c r="M21" s="8"/>
      <c r="N21" s="6"/>
      <c r="O21" s="6"/>
      <c r="P21" s="6"/>
    </row>
    <row r="22" spans="1:16" x14ac:dyDescent="0.25">
      <c r="A22" s="6"/>
      <c r="B22" s="6"/>
      <c r="C22" s="6"/>
      <c r="D22" s="6"/>
      <c r="E22" s="6"/>
      <c r="F22" s="6"/>
      <c r="G22" s="6"/>
      <c r="H22" s="6"/>
      <c r="I22" s="6"/>
      <c r="J22" s="12"/>
      <c r="K22" s="8"/>
      <c r="L22" s="8"/>
      <c r="M22" s="8"/>
      <c r="N22" s="6"/>
      <c r="O22" s="6"/>
      <c r="P22" s="6"/>
    </row>
    <row r="23" spans="1:16" x14ac:dyDescent="0.25">
      <c r="A23" s="2" t="s">
        <v>20</v>
      </c>
      <c r="B23" s="6"/>
      <c r="C23" s="6"/>
      <c r="D23" s="6"/>
      <c r="E23" s="6"/>
      <c r="F23" s="6"/>
      <c r="G23" s="6"/>
      <c r="H23" s="6"/>
      <c r="I23" s="6"/>
      <c r="J23" s="12"/>
      <c r="K23" s="8"/>
      <c r="L23" s="8"/>
      <c r="M23" s="8"/>
      <c r="N23" s="6"/>
      <c r="O23" s="6"/>
      <c r="P23" s="6"/>
    </row>
    <row r="24" spans="1:16" x14ac:dyDescent="0.25">
      <c r="A24" s="22" t="s">
        <v>21</v>
      </c>
      <c r="B24" s="6"/>
      <c r="C24" s="6"/>
      <c r="D24" s="6"/>
      <c r="E24" s="6"/>
      <c r="F24" s="6"/>
      <c r="G24" s="6"/>
      <c r="H24" s="6"/>
      <c r="I24" s="6"/>
      <c r="J24" s="12"/>
      <c r="K24" s="8"/>
      <c r="L24" s="8"/>
      <c r="M24" s="8"/>
      <c r="N24" s="6"/>
      <c r="O24" s="6"/>
      <c r="P24" s="6"/>
    </row>
    <row r="25" spans="1:16" x14ac:dyDescent="0.25">
      <c r="A25" s="5" t="s">
        <v>22</v>
      </c>
      <c r="B25" s="6"/>
      <c r="C25" s="6"/>
      <c r="D25" s="6"/>
      <c r="E25" s="6"/>
      <c r="F25" s="6"/>
      <c r="G25" s="6"/>
      <c r="H25" s="6"/>
      <c r="I25" s="6"/>
      <c r="J25" s="12"/>
      <c r="K25" s="8"/>
      <c r="L25" s="8"/>
      <c r="M25" s="8"/>
      <c r="N25" s="6"/>
      <c r="O25" s="6"/>
      <c r="P25" s="6"/>
    </row>
    <row r="26" spans="1:16" x14ac:dyDescent="0.25">
      <c r="A26" s="6"/>
      <c r="B26" s="6"/>
      <c r="C26" s="6"/>
      <c r="D26" s="6"/>
      <c r="E26" s="6"/>
      <c r="F26" s="6"/>
      <c r="G26" s="6"/>
      <c r="H26" s="6"/>
      <c r="I26" s="6"/>
      <c r="J26" s="12"/>
      <c r="K26" s="8"/>
      <c r="L26" s="8"/>
      <c r="M26" s="8"/>
      <c r="N26" s="6"/>
      <c r="O26" s="6"/>
      <c r="P26" s="6"/>
    </row>
    <row r="27" spans="1:16" x14ac:dyDescent="0.25">
      <c r="A27" s="6"/>
      <c r="B27" s="6"/>
      <c r="C27" s="6"/>
      <c r="D27" s="6"/>
      <c r="E27" s="6"/>
      <c r="F27" s="6"/>
      <c r="G27" s="6"/>
      <c r="H27" s="6"/>
      <c r="I27" s="6"/>
      <c r="J27" s="12"/>
      <c r="K27" s="8"/>
      <c r="L27" s="8"/>
      <c r="M27" s="8"/>
      <c r="N27" s="6"/>
      <c r="O27" s="6"/>
      <c r="P27" s="6"/>
    </row>
    <row r="28" spans="1:16" x14ac:dyDescent="0.25">
      <c r="A28" s="6"/>
      <c r="B28" s="6"/>
      <c r="C28" s="6"/>
      <c r="D28" s="6"/>
      <c r="E28" s="6"/>
      <c r="F28" s="6"/>
      <c r="G28" s="6"/>
      <c r="H28" s="6"/>
      <c r="I28" s="6"/>
      <c r="J28" s="13"/>
      <c r="K28" s="10"/>
      <c r="L28" s="10"/>
      <c r="M28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H4" sqref="H4"/>
    </sheetView>
  </sheetViews>
  <sheetFormatPr defaultRowHeight="15" x14ac:dyDescent="0.25"/>
  <cols>
    <col min="1" max="1" width="24.5703125" customWidth="1"/>
    <col min="2" max="2" width="25.7109375" customWidth="1"/>
    <col min="3" max="4" width="17.42578125" customWidth="1"/>
    <col min="5" max="5" width="15.85546875" style="74" customWidth="1"/>
    <col min="12" max="12" width="11.5703125" customWidth="1"/>
    <col min="13" max="13" width="18.42578125" customWidth="1"/>
  </cols>
  <sheetData>
    <row r="1" spans="1:15" x14ac:dyDescent="0.25">
      <c r="A1" s="25" t="s">
        <v>29</v>
      </c>
      <c r="B1" s="26"/>
      <c r="C1" s="27"/>
      <c r="D1" s="6"/>
      <c r="E1" s="77"/>
      <c r="F1" s="6"/>
      <c r="G1" s="6"/>
      <c r="H1" s="6"/>
      <c r="I1" s="16" t="s">
        <v>52</v>
      </c>
      <c r="J1" s="16"/>
      <c r="K1" s="16"/>
      <c r="L1" s="6"/>
      <c r="M1" s="6"/>
      <c r="N1" s="6"/>
      <c r="O1" s="6"/>
    </row>
    <row r="2" spans="1:15" x14ac:dyDescent="0.25">
      <c r="A2" s="28"/>
      <c r="B2" s="8"/>
      <c r="C2" s="29"/>
      <c r="D2" s="6"/>
      <c r="E2" s="76" t="s">
        <v>44</v>
      </c>
      <c r="F2" s="8"/>
      <c r="G2" s="8"/>
      <c r="H2" s="8"/>
      <c r="I2" s="8"/>
      <c r="J2" s="8"/>
      <c r="K2" s="8"/>
      <c r="L2" s="8"/>
      <c r="M2" s="8"/>
      <c r="N2" s="6"/>
      <c r="O2" s="6"/>
    </row>
    <row r="3" spans="1:15" ht="60" x14ac:dyDescent="0.25">
      <c r="A3" s="75" t="s">
        <v>30</v>
      </c>
      <c r="B3" s="78"/>
      <c r="C3" s="79">
        <v>25</v>
      </c>
      <c r="D3" s="6"/>
      <c r="E3" s="74">
        <v>20</v>
      </c>
      <c r="F3" s="8"/>
      <c r="G3" s="19" t="s">
        <v>96</v>
      </c>
      <c r="H3" s="20" t="s">
        <v>195</v>
      </c>
      <c r="I3" s="19" t="s">
        <v>98</v>
      </c>
      <c r="J3" s="21" t="s">
        <v>97</v>
      </c>
      <c r="K3" s="21" t="s">
        <v>49</v>
      </c>
      <c r="L3" s="21" t="s">
        <v>50</v>
      </c>
      <c r="M3" s="21" t="s">
        <v>51</v>
      </c>
      <c r="N3" s="6"/>
      <c r="O3" s="6"/>
    </row>
    <row r="4" spans="1:15" x14ac:dyDescent="0.25">
      <c r="A4" s="75" t="s">
        <v>31</v>
      </c>
      <c r="B4" s="78"/>
      <c r="C4" s="79">
        <v>60</v>
      </c>
      <c r="D4" s="6"/>
      <c r="E4" s="74">
        <v>20</v>
      </c>
      <c r="F4" s="74"/>
      <c r="G4" s="71">
        <v>35000</v>
      </c>
      <c r="H4" s="72">
        <v>0.4</v>
      </c>
      <c r="I4" s="60">
        <f t="shared" ref="I4:I16" si="0">H4/$C$22</f>
        <v>0.4</v>
      </c>
      <c r="J4" s="60">
        <f t="shared" ref="J4:J16" si="1">G4*I4</f>
        <v>14000</v>
      </c>
      <c r="K4" s="60">
        <f t="shared" ref="K4:K16" si="2">G4-$C$23</f>
        <v>-9000</v>
      </c>
      <c r="L4" s="60">
        <f t="shared" ref="L4:L16" si="3">K4^2</f>
        <v>81000000</v>
      </c>
      <c r="M4" s="60">
        <f t="shared" ref="M4:M16" si="4">L4*I4</f>
        <v>32400000</v>
      </c>
      <c r="N4" s="6"/>
      <c r="O4" s="6"/>
    </row>
    <row r="5" spans="1:15" x14ac:dyDescent="0.25">
      <c r="A5" s="54" t="s">
        <v>32</v>
      </c>
      <c r="B5" s="53"/>
      <c r="C5" s="55">
        <f>C4-C3</f>
        <v>35</v>
      </c>
      <c r="D5" s="6"/>
      <c r="E5" s="74">
        <v>21</v>
      </c>
      <c r="F5" s="74"/>
      <c r="G5" s="71">
        <v>45000</v>
      </c>
      <c r="H5" s="71">
        <v>0.3</v>
      </c>
      <c r="I5" s="60">
        <f t="shared" si="0"/>
        <v>0.3</v>
      </c>
      <c r="J5" s="60">
        <f t="shared" si="1"/>
        <v>13500</v>
      </c>
      <c r="K5" s="60">
        <f t="shared" si="2"/>
        <v>1000</v>
      </c>
      <c r="L5" s="60">
        <f t="shared" si="3"/>
        <v>1000000</v>
      </c>
      <c r="M5" s="60">
        <f t="shared" si="4"/>
        <v>300000</v>
      </c>
      <c r="N5" s="6"/>
      <c r="O5" s="6"/>
    </row>
    <row r="6" spans="1:15" x14ac:dyDescent="0.25">
      <c r="A6" s="28"/>
      <c r="B6" s="30"/>
      <c r="C6" s="29"/>
      <c r="D6" s="6"/>
      <c r="E6" s="74">
        <v>22</v>
      </c>
      <c r="F6" s="74"/>
      <c r="G6" s="71">
        <v>55000</v>
      </c>
      <c r="H6" s="71">
        <v>0.3</v>
      </c>
      <c r="I6" s="60">
        <f t="shared" si="0"/>
        <v>0.3</v>
      </c>
      <c r="J6" s="60">
        <f t="shared" si="1"/>
        <v>16500</v>
      </c>
      <c r="K6" s="60">
        <f t="shared" si="2"/>
        <v>11000</v>
      </c>
      <c r="L6" s="60">
        <f t="shared" si="3"/>
        <v>121000000</v>
      </c>
      <c r="M6" s="60">
        <f t="shared" si="4"/>
        <v>36300000</v>
      </c>
      <c r="N6" s="6"/>
      <c r="O6" s="6"/>
    </row>
    <row r="7" spans="1:15" x14ac:dyDescent="0.25">
      <c r="A7" s="75" t="s">
        <v>33</v>
      </c>
      <c r="B7" s="78"/>
      <c r="C7" s="79">
        <v>20</v>
      </c>
      <c r="D7" s="6"/>
      <c r="E7" s="74">
        <v>29</v>
      </c>
      <c r="F7" s="74"/>
      <c r="G7" s="71"/>
      <c r="H7" s="71"/>
      <c r="I7" s="60">
        <f t="shared" si="0"/>
        <v>0</v>
      </c>
      <c r="J7" s="60">
        <f t="shared" si="1"/>
        <v>0</v>
      </c>
      <c r="K7" s="60">
        <f t="shared" si="2"/>
        <v>-44000</v>
      </c>
      <c r="L7" s="60">
        <f t="shared" si="3"/>
        <v>1936000000</v>
      </c>
      <c r="M7" s="60">
        <f t="shared" si="4"/>
        <v>0</v>
      </c>
      <c r="N7" s="6"/>
      <c r="O7" s="6"/>
    </row>
    <row r="8" spans="1:15" x14ac:dyDescent="0.25">
      <c r="A8" s="75" t="s">
        <v>34</v>
      </c>
      <c r="B8" s="78"/>
      <c r="C8" s="79">
        <v>30</v>
      </c>
      <c r="D8" s="6"/>
      <c r="E8" s="74">
        <v>31</v>
      </c>
      <c r="F8" s="74"/>
      <c r="G8" s="71"/>
      <c r="H8" s="71"/>
      <c r="I8" s="60">
        <f t="shared" si="0"/>
        <v>0</v>
      </c>
      <c r="J8" s="60">
        <f t="shared" si="1"/>
        <v>0</v>
      </c>
      <c r="K8" s="60">
        <f t="shared" si="2"/>
        <v>-44000</v>
      </c>
      <c r="L8" s="60">
        <f t="shared" si="3"/>
        <v>1936000000</v>
      </c>
      <c r="M8" s="60">
        <f t="shared" si="4"/>
        <v>0</v>
      </c>
      <c r="N8" s="6"/>
      <c r="O8" s="6"/>
    </row>
    <row r="9" spans="1:15" x14ac:dyDescent="0.25">
      <c r="A9" s="54" t="s">
        <v>35</v>
      </c>
      <c r="B9" s="53"/>
      <c r="C9" s="55">
        <f>C8-C7</f>
        <v>10</v>
      </c>
      <c r="D9" s="6"/>
      <c r="E9" s="74">
        <v>34</v>
      </c>
      <c r="F9" s="74"/>
      <c r="G9" s="71"/>
      <c r="H9" s="71"/>
      <c r="I9" s="60">
        <f t="shared" si="0"/>
        <v>0</v>
      </c>
      <c r="J9" s="60">
        <f t="shared" si="1"/>
        <v>0</v>
      </c>
      <c r="K9" s="60">
        <f t="shared" si="2"/>
        <v>-44000</v>
      </c>
      <c r="L9" s="60">
        <f t="shared" si="3"/>
        <v>1936000000</v>
      </c>
      <c r="M9" s="60">
        <f t="shared" si="4"/>
        <v>0</v>
      </c>
      <c r="N9" s="6"/>
      <c r="O9" s="6"/>
    </row>
    <row r="10" spans="1:15" x14ac:dyDescent="0.25">
      <c r="A10" s="28"/>
      <c r="B10" s="30"/>
      <c r="C10" s="29"/>
      <c r="D10" s="6"/>
      <c r="E10" s="74">
        <v>34</v>
      </c>
      <c r="F10" s="6"/>
      <c r="G10" s="71"/>
      <c r="H10" s="71"/>
      <c r="I10" s="60">
        <f t="shared" si="0"/>
        <v>0</v>
      </c>
      <c r="J10" s="60">
        <f t="shared" si="1"/>
        <v>0</v>
      </c>
      <c r="K10" s="60">
        <f t="shared" si="2"/>
        <v>-44000</v>
      </c>
      <c r="L10" s="60">
        <f t="shared" si="3"/>
        <v>1936000000</v>
      </c>
      <c r="M10" s="60">
        <f t="shared" si="4"/>
        <v>0</v>
      </c>
      <c r="N10" s="6"/>
      <c r="O10" s="6"/>
    </row>
    <row r="11" spans="1:15" x14ac:dyDescent="0.25">
      <c r="A11" s="75" t="s">
        <v>36</v>
      </c>
      <c r="B11" s="78"/>
      <c r="C11" s="79">
        <v>12</v>
      </c>
      <c r="D11" s="6"/>
      <c r="E11" s="74">
        <v>37</v>
      </c>
      <c r="F11" s="6"/>
      <c r="G11" s="71"/>
      <c r="H11" s="71"/>
      <c r="I11" s="60">
        <f t="shared" si="0"/>
        <v>0</v>
      </c>
      <c r="J11" s="60">
        <f t="shared" si="1"/>
        <v>0</v>
      </c>
      <c r="K11" s="60">
        <f t="shared" si="2"/>
        <v>-44000</v>
      </c>
      <c r="L11" s="60">
        <f t="shared" si="3"/>
        <v>1936000000</v>
      </c>
      <c r="M11" s="60">
        <f t="shared" si="4"/>
        <v>0</v>
      </c>
      <c r="N11" s="6"/>
      <c r="O11" s="6"/>
    </row>
    <row r="12" spans="1:15" x14ac:dyDescent="0.25">
      <c r="A12" s="75" t="s">
        <v>37</v>
      </c>
      <c r="B12" s="78"/>
      <c r="C12" s="79">
        <v>50</v>
      </c>
      <c r="D12" s="6"/>
      <c r="E12" s="74">
        <v>38</v>
      </c>
      <c r="F12" s="6"/>
      <c r="G12" s="71"/>
      <c r="H12" s="71"/>
      <c r="I12" s="60">
        <f t="shared" si="0"/>
        <v>0</v>
      </c>
      <c r="J12" s="60">
        <f t="shared" si="1"/>
        <v>0</v>
      </c>
      <c r="K12" s="60">
        <f t="shared" si="2"/>
        <v>-44000</v>
      </c>
      <c r="L12" s="60">
        <f t="shared" si="3"/>
        <v>1936000000</v>
      </c>
      <c r="M12" s="60">
        <f t="shared" si="4"/>
        <v>0</v>
      </c>
      <c r="N12" s="6"/>
      <c r="O12" s="6"/>
    </row>
    <row r="13" spans="1:15" x14ac:dyDescent="0.25">
      <c r="A13" s="54" t="s">
        <v>38</v>
      </c>
      <c r="B13" s="53"/>
      <c r="C13" s="55">
        <f>C11/C12</f>
        <v>0.24</v>
      </c>
      <c r="D13" s="6"/>
      <c r="E13" s="74">
        <v>40</v>
      </c>
      <c r="F13" s="6"/>
      <c r="G13" s="71"/>
      <c r="H13" s="71"/>
      <c r="I13" s="60">
        <f t="shared" si="0"/>
        <v>0</v>
      </c>
      <c r="J13" s="60">
        <f t="shared" si="1"/>
        <v>0</v>
      </c>
      <c r="K13" s="60">
        <f t="shared" si="2"/>
        <v>-44000</v>
      </c>
      <c r="L13" s="60">
        <f t="shared" si="3"/>
        <v>1936000000</v>
      </c>
      <c r="M13" s="60">
        <f t="shared" si="4"/>
        <v>0</v>
      </c>
      <c r="N13" s="6"/>
      <c r="O13" s="6"/>
    </row>
    <row r="14" spans="1:15" x14ac:dyDescent="0.25">
      <c r="A14" s="28"/>
      <c r="B14" s="30"/>
      <c r="C14" s="29"/>
      <c r="D14" s="6"/>
      <c r="E14" s="74">
        <v>41</v>
      </c>
      <c r="F14" s="6"/>
      <c r="G14" s="71"/>
      <c r="H14" s="71"/>
      <c r="I14" s="60">
        <f t="shared" si="0"/>
        <v>0</v>
      </c>
      <c r="J14" s="60">
        <f t="shared" si="1"/>
        <v>0</v>
      </c>
      <c r="K14" s="60">
        <f t="shared" si="2"/>
        <v>-44000</v>
      </c>
      <c r="L14" s="60">
        <f t="shared" si="3"/>
        <v>1936000000</v>
      </c>
      <c r="M14" s="60">
        <f t="shared" si="4"/>
        <v>0</v>
      </c>
      <c r="N14" s="6"/>
      <c r="O14" s="6"/>
    </row>
    <row r="15" spans="1:15" x14ac:dyDescent="0.25">
      <c r="A15" s="75" t="s">
        <v>39</v>
      </c>
      <c r="B15" s="78"/>
      <c r="C15" s="79">
        <v>15</v>
      </c>
      <c r="D15" s="6"/>
      <c r="E15" s="74">
        <v>42</v>
      </c>
      <c r="F15" s="6"/>
      <c r="G15" s="71"/>
      <c r="H15" s="71"/>
      <c r="I15" s="60">
        <f t="shared" si="0"/>
        <v>0</v>
      </c>
      <c r="J15" s="60">
        <f t="shared" si="1"/>
        <v>0</v>
      </c>
      <c r="K15" s="60">
        <f t="shared" si="2"/>
        <v>-44000</v>
      </c>
      <c r="L15" s="60">
        <f t="shared" si="3"/>
        <v>1936000000</v>
      </c>
      <c r="M15" s="60">
        <f t="shared" si="4"/>
        <v>0</v>
      </c>
      <c r="N15" s="6"/>
      <c r="O15" s="6"/>
    </row>
    <row r="16" spans="1:15" x14ac:dyDescent="0.25">
      <c r="A16" s="75" t="s">
        <v>40</v>
      </c>
      <c r="B16" s="78"/>
      <c r="C16" s="79">
        <v>34</v>
      </c>
      <c r="D16" s="8"/>
      <c r="E16" s="74">
        <v>47</v>
      </c>
      <c r="F16" s="90"/>
      <c r="G16" s="73"/>
      <c r="H16" s="71"/>
      <c r="I16" s="61">
        <f t="shared" si="0"/>
        <v>0</v>
      </c>
      <c r="J16" s="60">
        <f t="shared" si="1"/>
        <v>0</v>
      </c>
      <c r="K16" s="60">
        <f t="shared" si="2"/>
        <v>-44000</v>
      </c>
      <c r="L16" s="61">
        <f t="shared" si="3"/>
        <v>1936000000</v>
      </c>
      <c r="M16" s="61">
        <f t="shared" si="4"/>
        <v>0</v>
      </c>
      <c r="N16" s="6"/>
      <c r="O16" s="6"/>
    </row>
    <row r="17" spans="1:15" x14ac:dyDescent="0.25">
      <c r="A17" s="54" t="s">
        <v>41</v>
      </c>
      <c r="B17" s="53"/>
      <c r="C17" s="55">
        <f>C15+C16/2</f>
        <v>32</v>
      </c>
      <c r="D17" s="8"/>
      <c r="E17" s="75">
        <v>49</v>
      </c>
      <c r="F17" s="62" t="s">
        <v>48</v>
      </c>
      <c r="G17" s="63"/>
      <c r="H17" s="63">
        <f>SUM(H4:H16)</f>
        <v>1</v>
      </c>
      <c r="I17" s="60">
        <f>SUM(I4:I16)</f>
        <v>1</v>
      </c>
      <c r="J17" s="60">
        <f>SUM(J4:J16)</f>
        <v>44000</v>
      </c>
      <c r="K17" s="60"/>
      <c r="L17" s="60"/>
      <c r="M17" s="60">
        <f>SUM(M4:M16)</f>
        <v>69000000</v>
      </c>
      <c r="N17" s="6"/>
      <c r="O17" s="6"/>
    </row>
    <row r="18" spans="1:15" x14ac:dyDescent="0.25">
      <c r="A18" s="54" t="s">
        <v>43</v>
      </c>
      <c r="B18" s="53"/>
      <c r="C18" s="55">
        <f>C15-0.5</f>
        <v>14.5</v>
      </c>
      <c r="D18" s="8"/>
      <c r="E18" s="74">
        <v>66</v>
      </c>
      <c r="F18" s="8"/>
      <c r="G18" s="8"/>
      <c r="H18" s="8"/>
      <c r="I18" s="8"/>
      <c r="J18" s="8"/>
      <c r="K18" s="8"/>
      <c r="L18" s="8"/>
      <c r="M18" s="8"/>
      <c r="N18" s="6"/>
      <c r="O18" s="6"/>
    </row>
    <row r="19" spans="1:15" x14ac:dyDescent="0.25">
      <c r="A19" s="54" t="s">
        <v>42</v>
      </c>
      <c r="B19" s="53"/>
      <c r="C19" s="55">
        <f>C16+0.4</f>
        <v>34.4</v>
      </c>
      <c r="D19" s="8"/>
      <c r="F19" s="8"/>
      <c r="G19" s="32" t="s">
        <v>53</v>
      </c>
      <c r="H19" s="32"/>
      <c r="I19" s="31"/>
      <c r="J19" s="8"/>
      <c r="K19" s="8"/>
      <c r="L19" s="8"/>
      <c r="M19" s="8"/>
      <c r="N19" s="6"/>
      <c r="O19" s="6"/>
    </row>
    <row r="20" spans="1:15" x14ac:dyDescent="0.25">
      <c r="A20" s="28"/>
      <c r="B20" s="30"/>
      <c r="C20" s="29"/>
      <c r="D20" s="8"/>
      <c r="F20" s="8"/>
      <c r="G20" s="62" t="s">
        <v>54</v>
      </c>
      <c r="H20" s="63"/>
      <c r="I20" s="63">
        <f>C23</f>
        <v>44000</v>
      </c>
      <c r="J20" s="8"/>
      <c r="K20" s="8"/>
      <c r="L20" s="8"/>
      <c r="M20" s="8"/>
      <c r="N20" s="6"/>
      <c r="O20" s="6"/>
    </row>
    <row r="21" spans="1:15" x14ac:dyDescent="0.25">
      <c r="A21" s="28"/>
      <c r="B21" s="8"/>
      <c r="C21" s="29"/>
      <c r="D21" s="8"/>
      <c r="F21" s="8"/>
      <c r="G21" s="64" t="s">
        <v>55</v>
      </c>
      <c r="H21" s="64"/>
      <c r="I21" s="62">
        <f>I20+C25</f>
        <v>52306.623862918073</v>
      </c>
      <c r="J21" s="65">
        <v>0.34</v>
      </c>
      <c r="L21" s="8"/>
      <c r="M21" s="8"/>
      <c r="N21" s="6"/>
      <c r="O21" s="6"/>
    </row>
    <row r="22" spans="1:15" x14ac:dyDescent="0.25">
      <c r="A22" s="54" t="s">
        <v>45</v>
      </c>
      <c r="B22" s="53"/>
      <c r="C22" s="55">
        <f>H17</f>
        <v>1</v>
      </c>
      <c r="D22" s="8"/>
      <c r="F22" s="8"/>
      <c r="G22" s="60" t="s">
        <v>56</v>
      </c>
      <c r="H22" s="60"/>
      <c r="I22" s="62">
        <f>I20-C25</f>
        <v>35693.376137081927</v>
      </c>
      <c r="J22" s="65">
        <v>0.34</v>
      </c>
      <c r="K22" s="8"/>
      <c r="L22" s="8"/>
      <c r="M22" s="8"/>
      <c r="N22" s="6"/>
      <c r="O22" s="6"/>
    </row>
    <row r="23" spans="1:15" x14ac:dyDescent="0.25">
      <c r="A23" s="54" t="s">
        <v>194</v>
      </c>
      <c r="B23" s="56"/>
      <c r="C23" s="55">
        <f>J17</f>
        <v>44000</v>
      </c>
      <c r="D23" s="8"/>
      <c r="F23" s="8"/>
      <c r="G23" s="60" t="s">
        <v>57</v>
      </c>
      <c r="H23" s="60"/>
      <c r="I23" s="62">
        <f>I20+($C$25*2)</f>
        <v>60613.247725836147</v>
      </c>
      <c r="J23" s="65">
        <v>0.13500000000000001</v>
      </c>
      <c r="K23" s="8"/>
      <c r="L23" s="8"/>
      <c r="M23" s="8"/>
      <c r="N23" s="6"/>
      <c r="O23" s="6"/>
    </row>
    <row r="24" spans="1:15" x14ac:dyDescent="0.25">
      <c r="A24" s="54" t="s">
        <v>46</v>
      </c>
      <c r="B24" s="56"/>
      <c r="C24" s="55">
        <f>M17</f>
        <v>69000000</v>
      </c>
      <c r="D24" s="8"/>
      <c r="F24" s="8"/>
      <c r="G24" s="60" t="s">
        <v>58</v>
      </c>
      <c r="H24" s="60"/>
      <c r="I24" s="62">
        <f>I21-($C$25*2)</f>
        <v>35693.376137081927</v>
      </c>
      <c r="J24" s="65">
        <v>0.13500000000000001</v>
      </c>
      <c r="K24" s="8"/>
      <c r="L24" s="8"/>
      <c r="M24" s="8"/>
      <c r="N24" s="6"/>
      <c r="O24" s="6"/>
    </row>
    <row r="25" spans="1:15" x14ac:dyDescent="0.25">
      <c r="A25" s="57" t="s">
        <v>47</v>
      </c>
      <c r="B25" s="58"/>
      <c r="C25" s="59">
        <f>SQRT(C24)</f>
        <v>8306.6238629180752</v>
      </c>
      <c r="D25" s="8"/>
      <c r="F25" s="8"/>
      <c r="G25" s="60" t="s">
        <v>59</v>
      </c>
      <c r="H25" s="60"/>
      <c r="I25" s="62">
        <f>I20+($C$25 *3)</f>
        <v>68919.871588754235</v>
      </c>
      <c r="J25" s="65">
        <v>2.35E-2</v>
      </c>
      <c r="K25" s="8"/>
      <c r="L25" s="8"/>
      <c r="M25" s="8"/>
      <c r="N25" s="6"/>
      <c r="O25" s="6"/>
    </row>
    <row r="26" spans="1:15" x14ac:dyDescent="0.25">
      <c r="A26" s="6"/>
      <c r="B26" s="6"/>
      <c r="C26" s="6"/>
      <c r="D26" s="8"/>
      <c r="F26" s="8"/>
      <c r="G26" s="60" t="s">
        <v>60</v>
      </c>
      <c r="H26" s="60"/>
      <c r="I26" s="62">
        <f>I21-($C$25 *3)</f>
        <v>27386.752274163846</v>
      </c>
      <c r="J26" s="65">
        <v>2.35E-2</v>
      </c>
      <c r="K26" s="8"/>
      <c r="L26" s="8"/>
      <c r="M26" s="8"/>
      <c r="N26" s="6"/>
      <c r="O26" s="6"/>
    </row>
    <row r="27" spans="1:15" x14ac:dyDescent="0.25">
      <c r="A27" s="33" t="s">
        <v>183</v>
      </c>
      <c r="B27" s="33"/>
      <c r="C27" s="33">
        <f>SQRT(C28)</f>
        <v>29.086079144497972</v>
      </c>
      <c r="D27" s="8"/>
      <c r="F27" s="8"/>
      <c r="G27" s="8"/>
      <c r="H27" s="8"/>
      <c r="I27" s="8"/>
      <c r="J27" s="65">
        <f>SUM(J21:J26)</f>
        <v>0.997</v>
      </c>
      <c r="K27" s="8"/>
      <c r="L27" s="8"/>
      <c r="M27" s="8"/>
      <c r="N27" s="6"/>
      <c r="O27" s="6"/>
    </row>
    <row r="28" spans="1:15" x14ac:dyDescent="0.25">
      <c r="A28" s="66" t="s">
        <v>184</v>
      </c>
      <c r="B28" s="66"/>
      <c r="C28" s="66">
        <v>846</v>
      </c>
      <c r="D28" s="8"/>
      <c r="F28" s="8"/>
      <c r="G28" s="8"/>
      <c r="H28" s="8"/>
      <c r="I28" s="8"/>
      <c r="J28" s="8"/>
      <c r="K28" s="8"/>
      <c r="L28" s="8"/>
      <c r="M28" s="8"/>
      <c r="N28" s="6"/>
      <c r="O28" s="6"/>
    </row>
    <row r="29" spans="1:15" x14ac:dyDescent="0.25">
      <c r="A29" s="6"/>
      <c r="B29" s="6"/>
      <c r="C29" s="6"/>
      <c r="D29" s="8"/>
      <c r="F29" s="8"/>
      <c r="G29" s="8"/>
      <c r="H29" s="8"/>
      <c r="I29" s="8"/>
      <c r="J29" s="8"/>
      <c r="K29" s="8"/>
      <c r="L29" s="8"/>
      <c r="M29" s="8"/>
      <c r="N29" s="6"/>
      <c r="O29" s="6"/>
    </row>
    <row r="30" spans="1:15" x14ac:dyDescent="0.25">
      <c r="A30" s="6" t="s">
        <v>185</v>
      </c>
      <c r="B30" s="6"/>
      <c r="C30" s="6"/>
      <c r="D30" s="8"/>
      <c r="F30" s="8"/>
      <c r="G30" s="8"/>
      <c r="H30" s="8"/>
      <c r="I30" s="8"/>
      <c r="J30" s="8"/>
      <c r="K30" s="8"/>
      <c r="L30" s="8"/>
      <c r="M30" s="8"/>
      <c r="N30" s="6"/>
      <c r="O30" s="6"/>
    </row>
    <row r="31" spans="1:15" x14ac:dyDescent="0.25">
      <c r="A31" s="6" t="s">
        <v>192</v>
      </c>
      <c r="B31" s="6">
        <f>B32+(B33*B35)+(B34*B36)</f>
        <v>30751</v>
      </c>
      <c r="C31" s="6"/>
      <c r="D31" s="8"/>
      <c r="F31" s="8"/>
      <c r="G31" s="8"/>
      <c r="H31" s="8"/>
      <c r="I31" s="8"/>
      <c r="J31" s="8"/>
      <c r="K31" s="8"/>
      <c r="L31" s="8"/>
      <c r="M31" s="8"/>
      <c r="N31" s="6"/>
      <c r="O31" s="6"/>
    </row>
    <row r="32" spans="1:15" x14ac:dyDescent="0.25">
      <c r="A32" s="6" t="s">
        <v>186</v>
      </c>
      <c r="B32" s="6">
        <v>859</v>
      </c>
      <c r="C32" s="6"/>
      <c r="D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6" t="s">
        <v>187</v>
      </c>
      <c r="B33" s="6">
        <v>5.76</v>
      </c>
      <c r="C33" s="6"/>
      <c r="D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6" t="s">
        <v>188</v>
      </c>
      <c r="B34" s="6">
        <v>3.82</v>
      </c>
      <c r="C34" s="6"/>
      <c r="D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A35" s="6" t="s">
        <v>189</v>
      </c>
      <c r="B35" s="6">
        <v>3200</v>
      </c>
      <c r="C35" s="6"/>
    </row>
    <row r="36" spans="1:13" x14ac:dyDescent="0.25">
      <c r="A36" s="6" t="s">
        <v>190</v>
      </c>
      <c r="B36" s="6">
        <v>3000</v>
      </c>
    </row>
    <row r="37" spans="1:13" x14ac:dyDescent="0.25">
      <c r="A37" s="6" t="s">
        <v>191</v>
      </c>
    </row>
    <row r="38" spans="1:13" x14ac:dyDescent="0.25">
      <c r="A38" s="6" t="s">
        <v>193</v>
      </c>
      <c r="B38" s="6">
        <v>0.94</v>
      </c>
    </row>
  </sheetData>
  <sortState ref="E3:E18">
    <sortCondition ref="E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topLeftCell="B4" zoomScaleNormal="100" workbookViewId="0">
      <selection activeCell="I28" sqref="I28"/>
    </sheetView>
  </sheetViews>
  <sheetFormatPr defaultRowHeight="15" x14ac:dyDescent="0.25"/>
  <cols>
    <col min="2" max="2" width="13" customWidth="1"/>
    <col min="3" max="3" width="11.140625" customWidth="1"/>
    <col min="4" max="4" width="13.28515625" customWidth="1"/>
    <col min="5" max="5" width="9.140625" style="6"/>
    <col min="8" max="8" width="11.85546875" customWidth="1"/>
    <col min="9" max="9" width="10.5703125" customWidth="1"/>
    <col min="12" max="12" width="22.42578125" customWidth="1"/>
    <col min="13" max="13" width="20.140625" customWidth="1"/>
    <col min="15" max="15" width="28.7109375" customWidth="1"/>
    <col min="16" max="16" width="24.140625" customWidth="1"/>
  </cols>
  <sheetData>
    <row r="1" spans="1:20" x14ac:dyDescent="0.25">
      <c r="A1" s="6" t="s">
        <v>61</v>
      </c>
      <c r="B1" s="6"/>
      <c r="C1" s="6"/>
      <c r="D1" s="6" t="s">
        <v>62</v>
      </c>
      <c r="F1" s="6"/>
      <c r="G1" s="6"/>
      <c r="H1" s="6"/>
      <c r="I1" s="6"/>
      <c r="J1" s="6"/>
      <c r="K1" s="34" t="s">
        <v>88</v>
      </c>
      <c r="L1" s="35"/>
      <c r="M1" s="36" t="s">
        <v>82</v>
      </c>
      <c r="N1" s="6"/>
      <c r="O1" s="33" t="s">
        <v>147</v>
      </c>
      <c r="P1" s="33"/>
      <c r="Q1" s="6"/>
      <c r="R1" s="6" t="s">
        <v>165</v>
      </c>
      <c r="S1" s="6"/>
      <c r="T1" s="6"/>
    </row>
    <row r="2" spans="1:20" x14ac:dyDescent="0.25">
      <c r="B2" s="6"/>
      <c r="C2" s="6"/>
      <c r="D2" s="6" t="s">
        <v>63</v>
      </c>
      <c r="F2" s="6"/>
      <c r="G2" s="6"/>
      <c r="H2" s="6"/>
      <c r="I2" s="6"/>
      <c r="J2" s="6"/>
      <c r="K2" s="37"/>
      <c r="L2" s="38">
        <v>0.8</v>
      </c>
      <c r="M2" s="39">
        <v>1.28</v>
      </c>
      <c r="N2" s="6"/>
      <c r="O2" s="66" t="s">
        <v>148</v>
      </c>
      <c r="P2" s="66" t="s">
        <v>168</v>
      </c>
      <c r="Q2" s="6"/>
      <c r="R2" s="6" t="s">
        <v>166</v>
      </c>
      <c r="S2" s="6"/>
      <c r="T2" s="6"/>
    </row>
    <row r="3" spans="1:20" x14ac:dyDescent="0.25">
      <c r="A3" s="6" t="s">
        <v>64</v>
      </c>
      <c r="B3" s="6"/>
      <c r="C3" s="6"/>
      <c r="D3" s="6"/>
      <c r="F3" s="66" t="s">
        <v>79</v>
      </c>
      <c r="G3" s="66"/>
      <c r="H3" s="66"/>
      <c r="I3" s="66">
        <v>400</v>
      </c>
      <c r="J3" s="6"/>
      <c r="K3" s="37"/>
      <c r="L3" s="38">
        <v>0.9</v>
      </c>
      <c r="M3" s="39">
        <v>1.645</v>
      </c>
      <c r="N3" s="6"/>
      <c r="O3" s="66" t="s">
        <v>149</v>
      </c>
      <c r="P3" s="66" t="s">
        <v>169</v>
      </c>
      <c r="Q3" s="6"/>
      <c r="R3" s="6" t="s">
        <v>167</v>
      </c>
      <c r="S3" s="6"/>
      <c r="T3" s="6"/>
    </row>
    <row r="4" spans="1:20" x14ac:dyDescent="0.25">
      <c r="A4" s="66" t="s">
        <v>70</v>
      </c>
      <c r="B4" s="66"/>
      <c r="C4" s="66"/>
      <c r="D4" s="66">
        <v>2.7</v>
      </c>
      <c r="F4" s="66" t="s">
        <v>139</v>
      </c>
      <c r="G4" s="66"/>
      <c r="H4" s="66"/>
      <c r="I4" s="86">
        <v>0.05</v>
      </c>
      <c r="J4" s="6"/>
      <c r="K4" s="37"/>
      <c r="L4" s="38">
        <v>0.95</v>
      </c>
      <c r="M4" s="39">
        <v>1.96</v>
      </c>
      <c r="N4" s="6"/>
      <c r="O4" s="33" t="s">
        <v>150</v>
      </c>
      <c r="P4" s="33"/>
      <c r="Q4" t="s">
        <v>180</v>
      </c>
      <c r="R4" s="6" t="s">
        <v>115</v>
      </c>
      <c r="S4" s="6" t="s">
        <v>181</v>
      </c>
      <c r="T4" s="6"/>
    </row>
    <row r="5" spans="1:20" ht="15.75" thickBot="1" x14ac:dyDescent="0.3">
      <c r="A5" s="66" t="s">
        <v>65</v>
      </c>
      <c r="B5" s="66"/>
      <c r="C5" s="66"/>
      <c r="D5" s="66">
        <v>14.5</v>
      </c>
      <c r="F5" s="6" t="s">
        <v>74</v>
      </c>
      <c r="G5" s="6"/>
      <c r="H5" s="6"/>
      <c r="I5" s="6"/>
      <c r="J5" s="6"/>
      <c r="K5" s="40"/>
      <c r="L5" s="41">
        <v>0.99</v>
      </c>
      <c r="M5" s="42">
        <v>2.5750000000000002</v>
      </c>
      <c r="N5" s="6"/>
      <c r="O5" s="66" t="s">
        <v>174</v>
      </c>
      <c r="P5" s="66">
        <v>15</v>
      </c>
      <c r="Q5">
        <v>0.33</v>
      </c>
      <c r="R5" s="6">
        <f>I19</f>
        <v>6.25E-2</v>
      </c>
      <c r="S5" s="6">
        <f>1-Q5</f>
        <v>0.66999999999999993</v>
      </c>
      <c r="T5" s="6"/>
    </row>
    <row r="6" spans="1:20" x14ac:dyDescent="0.25">
      <c r="A6" s="66" t="s">
        <v>67</v>
      </c>
      <c r="B6" s="66"/>
      <c r="C6" s="66"/>
      <c r="D6" s="66">
        <v>45</v>
      </c>
      <c r="F6" s="6" t="s">
        <v>75</v>
      </c>
      <c r="G6" s="6"/>
      <c r="H6" s="6"/>
      <c r="I6" s="6"/>
      <c r="J6" s="6"/>
      <c r="K6" s="66" t="s">
        <v>86</v>
      </c>
      <c r="L6" s="66"/>
      <c r="M6" s="70">
        <v>0.95</v>
      </c>
      <c r="N6" s="6"/>
      <c r="O6" s="66" t="s">
        <v>151</v>
      </c>
      <c r="P6" s="66">
        <v>7.0000000000000007E-2</v>
      </c>
      <c r="R6" s="6"/>
      <c r="S6" s="6" t="s">
        <v>182</v>
      </c>
      <c r="T6" s="6">
        <f>(R5-Q5)/SQRT(((Q5*S5)/I18))</f>
        <v>-2.8444573047703212</v>
      </c>
    </row>
    <row r="7" spans="1:20" x14ac:dyDescent="0.25">
      <c r="A7" s="33"/>
      <c r="B7" s="33" t="s">
        <v>68</v>
      </c>
      <c r="C7" s="33"/>
      <c r="D7" s="33">
        <f>(D6-D5)/D4</f>
        <v>11.296296296296296</v>
      </c>
      <c r="F7" s="66" t="s">
        <v>76</v>
      </c>
      <c r="G7" s="66"/>
      <c r="H7" s="66"/>
      <c r="I7" s="66">
        <v>1.8</v>
      </c>
      <c r="J7" s="6"/>
      <c r="K7" s="33" t="s">
        <v>87</v>
      </c>
      <c r="L7" s="33"/>
      <c r="M7" s="33">
        <f>LOOKUP(M6,L2:M5)</f>
        <v>1.96</v>
      </c>
      <c r="N7" s="6"/>
      <c r="O7" s="33" t="s">
        <v>152</v>
      </c>
      <c r="P7" s="33"/>
      <c r="Q7" t="s">
        <v>178</v>
      </c>
      <c r="R7" s="15">
        <f>-I14</f>
        <v>2.0537489106318225</v>
      </c>
      <c r="S7" s="6"/>
      <c r="T7" s="6"/>
    </row>
    <row r="8" spans="1:20" x14ac:dyDescent="0.25">
      <c r="A8" s="33"/>
      <c r="B8" s="33" t="s">
        <v>71</v>
      </c>
      <c r="C8" s="33"/>
      <c r="D8" s="33">
        <f>_xlfn.NORM.DIST(D6,D5,D4,TRUE)</f>
        <v>1</v>
      </c>
      <c r="F8" s="33" t="s">
        <v>77</v>
      </c>
      <c r="G8" s="33"/>
      <c r="H8" s="33"/>
      <c r="I8" s="33">
        <f>(I7*D4)+D5</f>
        <v>19.36</v>
      </c>
      <c r="J8" s="6"/>
      <c r="K8" t="s">
        <v>137</v>
      </c>
      <c r="N8" s="6"/>
      <c r="O8" s="66" t="s">
        <v>153</v>
      </c>
      <c r="P8" s="66" t="s">
        <v>170</v>
      </c>
      <c r="R8" s="6"/>
      <c r="S8" s="6"/>
      <c r="T8" s="6"/>
    </row>
    <row r="9" spans="1:20" ht="15.75" x14ac:dyDescent="0.25">
      <c r="A9" s="66" t="s">
        <v>69</v>
      </c>
      <c r="B9" s="66"/>
      <c r="C9" s="66"/>
      <c r="D9" s="66">
        <v>46.8</v>
      </c>
      <c r="F9" s="33" t="s">
        <v>93</v>
      </c>
      <c r="G9" s="68"/>
      <c r="H9" s="33"/>
      <c r="I9" s="56">
        <f>M7*(D4/SQRT(I3))</f>
        <v>0.2646</v>
      </c>
      <c r="J9" s="6"/>
      <c r="K9" s="66" t="s">
        <v>84</v>
      </c>
      <c r="L9" s="66"/>
      <c r="M9" s="70">
        <v>0.97</v>
      </c>
      <c r="N9" s="6"/>
      <c r="O9" s="33" t="s">
        <v>154</v>
      </c>
      <c r="P9" s="33"/>
      <c r="R9" s="6"/>
      <c r="S9" s="6"/>
      <c r="T9" s="6"/>
    </row>
    <row r="10" spans="1:20" x14ac:dyDescent="0.25">
      <c r="A10" s="33"/>
      <c r="B10" s="33" t="s">
        <v>72</v>
      </c>
      <c r="C10" s="33"/>
      <c r="D10" s="33">
        <f>(D9-D5)/D4</f>
        <v>11.962962962962962</v>
      </c>
      <c r="F10" s="33" t="s">
        <v>140</v>
      </c>
      <c r="G10" s="33"/>
      <c r="H10" s="33"/>
      <c r="I10" s="33">
        <f>_xlfn.NORM.S.DIST(I7,TRUE)</f>
        <v>0.96406968088707423</v>
      </c>
      <c r="J10" s="6"/>
      <c r="K10" s="43" t="s">
        <v>85</v>
      </c>
      <c r="L10" s="33"/>
      <c r="M10" s="33">
        <f>M9/2</f>
        <v>0.48499999999999999</v>
      </c>
      <c r="N10" s="6"/>
      <c r="O10" s="66" t="s">
        <v>155</v>
      </c>
      <c r="P10" s="66" t="s">
        <v>171</v>
      </c>
      <c r="R10" s="6"/>
      <c r="S10" s="6"/>
      <c r="T10" s="6"/>
    </row>
    <row r="11" spans="1:20" x14ac:dyDescent="0.25">
      <c r="A11" s="33"/>
      <c r="B11" s="33" t="s">
        <v>71</v>
      </c>
      <c r="C11" s="33"/>
      <c r="D11" s="33">
        <f>_xlfn.NORM.DIST(D9,D5,D4,TRUE)</f>
        <v>1</v>
      </c>
      <c r="F11" s="6" t="s">
        <v>100</v>
      </c>
      <c r="G11" s="6"/>
      <c r="H11" s="6"/>
      <c r="I11" s="6"/>
      <c r="J11" s="6"/>
      <c r="K11" s="33" t="s">
        <v>92</v>
      </c>
      <c r="L11" s="33"/>
      <c r="M11" s="33">
        <f>(0.5-M10)</f>
        <v>1.5000000000000013E-2</v>
      </c>
      <c r="O11" s="33" t="s">
        <v>161</v>
      </c>
      <c r="P11" s="33"/>
      <c r="R11" s="6"/>
      <c r="S11" s="6"/>
      <c r="T11" s="6"/>
    </row>
    <row r="12" spans="1:20" x14ac:dyDescent="0.25">
      <c r="A12" s="33"/>
      <c r="B12" s="33" t="s">
        <v>73</v>
      </c>
      <c r="C12" s="33"/>
      <c r="D12" s="33">
        <f>1-D11</f>
        <v>0</v>
      </c>
      <c r="F12" s="66" t="s">
        <v>140</v>
      </c>
      <c r="G12" s="66"/>
      <c r="H12" s="66"/>
      <c r="I12" s="89">
        <v>0.02</v>
      </c>
      <c r="J12" s="6"/>
      <c r="K12" s="33" t="s">
        <v>101</v>
      </c>
      <c r="L12" s="33"/>
      <c r="M12" s="33">
        <f>_xlfn.CONFIDENCE.NORM(M11,D4,I3)</f>
        <v>0.32837117290889978</v>
      </c>
      <c r="O12" s="66" t="s">
        <v>156</v>
      </c>
      <c r="P12" s="66">
        <v>-2.29</v>
      </c>
      <c r="R12" s="6"/>
      <c r="S12" s="6"/>
      <c r="T12" s="6"/>
    </row>
    <row r="13" spans="1:20" x14ac:dyDescent="0.25">
      <c r="A13" s="33" t="s">
        <v>66</v>
      </c>
      <c r="B13" s="33"/>
      <c r="C13" s="33"/>
      <c r="D13" s="33">
        <f>D11-D8</f>
        <v>0</v>
      </c>
      <c r="F13" s="33" t="s">
        <v>78</v>
      </c>
      <c r="G13" s="33"/>
      <c r="H13" s="33"/>
      <c r="I13" s="44">
        <f>_xlfn.NORM.INV(I12,D5,D4)</f>
        <v>8.9548779412940789</v>
      </c>
      <c r="J13" s="6"/>
      <c r="K13" s="33" t="s">
        <v>108</v>
      </c>
      <c r="L13" s="33"/>
      <c r="M13" s="52">
        <f>-1*_xlfn.NORM.S.INV(M11)</f>
        <v>2.1700903775845601</v>
      </c>
      <c r="O13" s="33" t="s">
        <v>162</v>
      </c>
      <c r="P13" s="33"/>
      <c r="R13" s="6"/>
      <c r="S13" s="6"/>
      <c r="T13" s="6"/>
    </row>
    <row r="14" spans="1:20" x14ac:dyDescent="0.25">
      <c r="A14" t="s">
        <v>132</v>
      </c>
      <c r="F14" s="33" t="s">
        <v>99</v>
      </c>
      <c r="G14" s="33"/>
      <c r="H14" s="33"/>
      <c r="I14" s="52">
        <f>_xlfn.NORM.S.INV(I12)</f>
        <v>-2.0537489106318225</v>
      </c>
      <c r="J14" s="6"/>
      <c r="K14" s="33" t="s">
        <v>111</v>
      </c>
      <c r="L14" s="33"/>
      <c r="M14" s="33">
        <f>_xlfn.CONFIDENCE.T(M11,D4,I3)</f>
        <v>0.32980008827422314</v>
      </c>
      <c r="O14" s="66" t="s">
        <v>163</v>
      </c>
      <c r="P14" s="66" t="s">
        <v>172</v>
      </c>
      <c r="R14" s="6"/>
      <c r="S14" s="6"/>
      <c r="T14" s="6"/>
    </row>
    <row r="15" spans="1:20" x14ac:dyDescent="0.25">
      <c r="A15" s="66" t="s">
        <v>127</v>
      </c>
      <c r="B15" s="66"/>
      <c r="C15" s="66"/>
      <c r="D15" s="66">
        <v>2.5390000000000001</v>
      </c>
      <c r="F15" s="33" t="s">
        <v>80</v>
      </c>
      <c r="G15" s="33"/>
      <c r="H15" s="33"/>
      <c r="I15" s="33">
        <f>D5</f>
        <v>14.5</v>
      </c>
      <c r="J15" s="6"/>
      <c r="K15" s="69" t="s">
        <v>138</v>
      </c>
      <c r="O15" s="33" t="s">
        <v>157</v>
      </c>
      <c r="P15" s="33"/>
      <c r="Q15" t="s">
        <v>175</v>
      </c>
      <c r="R15" s="6"/>
      <c r="S15" s="6" t="s">
        <v>179</v>
      </c>
      <c r="T15" s="6"/>
    </row>
    <row r="16" spans="1:20" x14ac:dyDescent="0.25">
      <c r="A16" s="33" t="s">
        <v>128</v>
      </c>
      <c r="B16" s="33"/>
      <c r="C16" s="33"/>
      <c r="D16" s="33">
        <f>_xlfn.NORM.S.DIST(D15,TRUE)</f>
        <v>0.99444150883706173</v>
      </c>
      <c r="F16" s="33" t="s">
        <v>81</v>
      </c>
      <c r="G16" s="33"/>
      <c r="H16" s="33"/>
      <c r="I16" s="33">
        <f>D4/(SQRT(I3))</f>
        <v>0.13500000000000001</v>
      </c>
      <c r="J16" s="6"/>
      <c r="K16" s="33" t="s">
        <v>90</v>
      </c>
      <c r="L16" s="33"/>
      <c r="M16" s="33">
        <f>D5-(M7*(D4/SQRT(I3)))</f>
        <v>14.2354</v>
      </c>
      <c r="O16" s="33" t="s">
        <v>158</v>
      </c>
      <c r="P16" s="33">
        <f>(D5-P5)/(D4/SQRT(I3))</f>
        <v>-3.7037037037037033</v>
      </c>
      <c r="Q16" s="88">
        <f>_xlfn.NORM.S.INV(P6/2)</f>
        <v>-1.8119106729525978</v>
      </c>
      <c r="R16" s="6" t="s">
        <v>176</v>
      </c>
      <c r="S16" s="6">
        <f>C24</f>
        <v>2.3260000000000001</v>
      </c>
      <c r="T16" s="6"/>
    </row>
    <row r="17" spans="1:20" x14ac:dyDescent="0.25">
      <c r="A17" s="67" t="s">
        <v>130</v>
      </c>
      <c r="B17" s="67"/>
      <c r="C17" s="67"/>
      <c r="D17" s="67">
        <v>2.6</v>
      </c>
      <c r="E17" s="8"/>
      <c r="F17" s="6" t="s">
        <v>102</v>
      </c>
      <c r="G17" s="6"/>
      <c r="H17" s="6"/>
      <c r="I17" s="6"/>
      <c r="J17" s="6"/>
      <c r="K17" s="33" t="s">
        <v>89</v>
      </c>
      <c r="L17" s="33"/>
      <c r="M17" s="33">
        <f>$D$5+($M$7*($D$4/SQRT(I3)))</f>
        <v>14.7646</v>
      </c>
      <c r="O17" s="66" t="s">
        <v>159</v>
      </c>
      <c r="P17" s="66" t="s">
        <v>173</v>
      </c>
      <c r="Q17" t="s">
        <v>177</v>
      </c>
      <c r="R17" s="6">
        <f>1-D16</f>
        <v>5.5584911629382727E-3</v>
      </c>
      <c r="S17" s="6">
        <f>1-D16</f>
        <v>5.5584911629382727E-3</v>
      </c>
      <c r="T17" s="6"/>
    </row>
    <row r="18" spans="1:20" x14ac:dyDescent="0.25">
      <c r="A18" s="33" t="s">
        <v>128</v>
      </c>
      <c r="B18" s="33"/>
      <c r="C18" s="56"/>
      <c r="D18" s="56">
        <f>_xlfn.NORM.S.DIST(D17,TRUE)</f>
        <v>0.99533881197628127</v>
      </c>
      <c r="E18" s="8"/>
      <c r="F18" s="66" t="s">
        <v>103</v>
      </c>
      <c r="G18" s="66"/>
      <c r="H18" s="66"/>
      <c r="I18" s="66">
        <v>25</v>
      </c>
      <c r="J18" s="6"/>
      <c r="K18" s="33" t="s">
        <v>91</v>
      </c>
      <c r="L18" s="33"/>
      <c r="M18" s="33">
        <f>M17-M16</f>
        <v>0.52919999999999945</v>
      </c>
      <c r="O18" s="6" t="s">
        <v>160</v>
      </c>
      <c r="R18" s="6"/>
      <c r="S18" s="6"/>
      <c r="T18" s="6"/>
    </row>
    <row r="19" spans="1:20" x14ac:dyDescent="0.25">
      <c r="A19" s="33" t="s">
        <v>129</v>
      </c>
      <c r="B19" s="33"/>
      <c r="C19" s="33"/>
      <c r="D19" s="56">
        <f>D18-D16</f>
        <v>8.9730313921954075E-4</v>
      </c>
      <c r="E19" s="8"/>
      <c r="F19" s="33" t="s">
        <v>104</v>
      </c>
      <c r="G19" s="33"/>
      <c r="H19" s="33"/>
      <c r="I19" s="33">
        <f>I18/I3</f>
        <v>6.25E-2</v>
      </c>
      <c r="J19" s="6"/>
      <c r="K19" s="33" t="s">
        <v>93</v>
      </c>
      <c r="L19" s="33"/>
      <c r="M19" s="45">
        <f>M7*(D4/SQRT(I3))</f>
        <v>0.2646</v>
      </c>
      <c r="O19" t="s">
        <v>164</v>
      </c>
      <c r="P19">
        <f>1-_xlfn.NORM.S.DIST(P16,TRUE)</f>
        <v>0.99989376279255016</v>
      </c>
      <c r="R19" s="6"/>
      <c r="S19" s="6"/>
      <c r="T19" s="6"/>
    </row>
    <row r="20" spans="1:20" x14ac:dyDescent="0.25">
      <c r="A20" s="33" t="s">
        <v>131</v>
      </c>
      <c r="B20" s="33"/>
      <c r="C20" s="33"/>
      <c r="D20" s="56">
        <f xml:space="preserve"> 1 - D18</f>
        <v>4.661188023718732E-3</v>
      </c>
      <c r="E20" s="8"/>
      <c r="F20" s="33" t="s">
        <v>105</v>
      </c>
      <c r="G20" s="33"/>
      <c r="H20" s="33"/>
      <c r="I20" s="43">
        <f>I19-I4</f>
        <v>1.2499999999999997E-2</v>
      </c>
      <c r="J20" s="6"/>
      <c r="K20" s="6" t="s">
        <v>83</v>
      </c>
      <c r="N20" s="33" t="s">
        <v>109</v>
      </c>
      <c r="O20" s="33" t="s">
        <v>114</v>
      </c>
      <c r="R20" s="6"/>
      <c r="S20" s="6"/>
      <c r="T20" s="6"/>
    </row>
    <row r="21" spans="1:20" x14ac:dyDescent="0.25">
      <c r="A21" s="33" t="s">
        <v>133</v>
      </c>
      <c r="B21" s="33"/>
      <c r="C21" s="33"/>
      <c r="D21" s="56">
        <f>_xlfn.NORM.INV(D16,D5,D4)</f>
        <v>21.355299999999993</v>
      </c>
      <c r="E21" s="8"/>
      <c r="F21" s="33" t="s">
        <v>106</v>
      </c>
      <c r="G21" s="33"/>
      <c r="H21" s="33"/>
      <c r="I21" s="43">
        <f>I19+I4</f>
        <v>0.1125</v>
      </c>
      <c r="J21" s="6"/>
      <c r="K21" s="33" t="s">
        <v>90</v>
      </c>
      <c r="L21" s="33"/>
      <c r="M21" s="33">
        <f>$D$5-($M$13*($D$4/SQRT(I3)))</f>
        <v>14.207037799026084</v>
      </c>
      <c r="N21" s="66">
        <v>4.3550000000000004</v>
      </c>
      <c r="O21" s="33">
        <f>$D$5-($C$24*($D$4/SQRT(I3)))</f>
        <v>14.18599</v>
      </c>
      <c r="P21" s="6"/>
      <c r="R21" s="6"/>
      <c r="S21" s="6"/>
      <c r="T21" s="6"/>
    </row>
    <row r="22" spans="1:20" x14ac:dyDescent="0.25">
      <c r="A22" s="8" t="s">
        <v>136</v>
      </c>
      <c r="B22" s="48"/>
      <c r="C22" s="8"/>
      <c r="D22" s="8"/>
      <c r="E22" s="8"/>
      <c r="F22" s="33" t="s">
        <v>107</v>
      </c>
      <c r="G22" s="33"/>
      <c r="H22" s="33"/>
      <c r="I22" s="33">
        <v>0.5</v>
      </c>
      <c r="J22" s="6"/>
      <c r="K22" s="33" t="s">
        <v>89</v>
      </c>
      <c r="L22" s="33"/>
      <c r="M22" s="33">
        <f>$D$5+($M$13*($D$4/SQRT(I3)))</f>
        <v>14.792962200973916</v>
      </c>
      <c r="N22" s="66">
        <v>4.4450000000000003</v>
      </c>
      <c r="O22" s="33">
        <f>$D$5+($C$24*($D$4/SQRT(I4)))</f>
        <v>42.585908224588366</v>
      </c>
      <c r="P22" s="6"/>
      <c r="R22" s="6"/>
      <c r="S22" s="6"/>
      <c r="T22" s="6"/>
    </row>
    <row r="23" spans="1:20" x14ac:dyDescent="0.25">
      <c r="A23" s="33" t="s">
        <v>112</v>
      </c>
      <c r="B23" s="56"/>
      <c r="C23" s="56">
        <f>I3-1</f>
        <v>399</v>
      </c>
      <c r="D23" s="8"/>
      <c r="E23" s="8"/>
      <c r="F23" s="33" t="s">
        <v>115</v>
      </c>
      <c r="G23" s="33"/>
      <c r="H23" s="33"/>
      <c r="I23" s="33">
        <f>I18/I3</f>
        <v>6.25E-2</v>
      </c>
      <c r="J23" s="6"/>
      <c r="K23" s="33" t="s">
        <v>91</v>
      </c>
      <c r="L23" s="33"/>
      <c r="M23" s="33">
        <f>M22-M21</f>
        <v>0.5859244019478318</v>
      </c>
      <c r="N23" s="33">
        <f>N22-N21</f>
        <v>8.9999999999999858E-2</v>
      </c>
      <c r="O23" s="33">
        <f>O22-O21</f>
        <v>28.399918224588365</v>
      </c>
      <c r="P23" s="6"/>
      <c r="R23" s="6"/>
      <c r="S23" s="6"/>
      <c r="T23" s="6"/>
    </row>
    <row r="24" spans="1:20" x14ac:dyDescent="0.25">
      <c r="A24" s="66" t="s">
        <v>113</v>
      </c>
      <c r="B24" s="67"/>
      <c r="C24" s="67">
        <v>2.3260000000000001</v>
      </c>
      <c r="D24" s="81"/>
      <c r="E24" s="8"/>
      <c r="F24" s="33" t="s">
        <v>116</v>
      </c>
      <c r="G24" s="33"/>
      <c r="H24" s="33"/>
      <c r="I24" s="33">
        <f>I18*I23</f>
        <v>1.5625</v>
      </c>
      <c r="J24" s="6"/>
      <c r="K24" s="33" t="s">
        <v>93</v>
      </c>
      <c r="L24" s="33"/>
      <c r="M24" s="33">
        <f>M23/2</f>
        <v>0.2929622009739159</v>
      </c>
      <c r="N24" s="33">
        <f>N23/2</f>
        <v>4.4999999999999929E-2</v>
      </c>
      <c r="O24" s="33">
        <f>O23/2</f>
        <v>14.199959112294183</v>
      </c>
      <c r="P24" s="6"/>
      <c r="R24" s="6"/>
      <c r="S24" s="6"/>
      <c r="T24" s="6"/>
    </row>
    <row r="25" spans="1:20" x14ac:dyDescent="0.25">
      <c r="D25" s="8"/>
      <c r="E25" s="8"/>
      <c r="F25" s="33" t="s">
        <v>118</v>
      </c>
      <c r="G25" s="33"/>
      <c r="H25" s="33"/>
      <c r="I25" s="33">
        <f>1-I23</f>
        <v>0.9375</v>
      </c>
      <c r="J25" s="6"/>
      <c r="K25" s="33" t="s">
        <v>110</v>
      </c>
      <c r="L25" s="33"/>
      <c r="M25" s="33">
        <f>M22-M24</f>
        <v>14.5</v>
      </c>
      <c r="N25" s="33">
        <f>N22-N24</f>
        <v>4.4000000000000004</v>
      </c>
      <c r="O25" s="33">
        <f>O22-O24</f>
        <v>28.385949112294185</v>
      </c>
      <c r="P25" s="6"/>
      <c r="R25" s="6"/>
      <c r="S25" s="6"/>
      <c r="T25" s="6"/>
    </row>
    <row r="26" spans="1:20" x14ac:dyDescent="0.25">
      <c r="A26" t="s">
        <v>126</v>
      </c>
      <c r="B26" s="8"/>
      <c r="C26" s="8"/>
      <c r="D26" s="8"/>
      <c r="E26" s="8"/>
      <c r="F26" s="33" t="s">
        <v>117</v>
      </c>
      <c r="G26" s="33"/>
      <c r="H26" s="33"/>
      <c r="I26" s="33">
        <f>I18*I25</f>
        <v>23.4375</v>
      </c>
      <c r="J26" s="6"/>
      <c r="O26" s="6"/>
      <c r="P26" s="6"/>
      <c r="R26" s="6"/>
      <c r="S26" s="6"/>
      <c r="T26" s="6"/>
    </row>
    <row r="27" spans="1:20" x14ac:dyDescent="0.25">
      <c r="A27" s="67" t="s">
        <v>119</v>
      </c>
      <c r="B27" s="67"/>
      <c r="C27" s="67">
        <v>0.21</v>
      </c>
      <c r="D27" s="8"/>
      <c r="E27" s="8"/>
      <c r="F27" s="33" t="s">
        <v>123</v>
      </c>
      <c r="G27" s="33"/>
      <c r="H27" s="33"/>
      <c r="I27" s="33">
        <f>M7*(SQRT((I23*I25)/I18))</f>
        <v>9.4888091982081715E-2</v>
      </c>
      <c r="J27" s="6"/>
      <c r="K27" s="69" t="s">
        <v>134</v>
      </c>
      <c r="N27" s="6"/>
      <c r="O27" s="6"/>
      <c r="R27" s="6"/>
      <c r="S27" s="6"/>
      <c r="T27" s="6"/>
    </row>
    <row r="28" spans="1:20" x14ac:dyDescent="0.25">
      <c r="A28" s="56" t="s">
        <v>120</v>
      </c>
      <c r="B28" s="56"/>
      <c r="C28" s="56">
        <f>1-C27</f>
        <v>0.79</v>
      </c>
      <c r="D28" s="6"/>
      <c r="F28" s="33" t="s">
        <v>90</v>
      </c>
      <c r="G28" s="33"/>
      <c r="H28" s="33"/>
      <c r="I28" s="33">
        <f>I23-I27</f>
        <v>-3.2388091982081715E-2</v>
      </c>
      <c r="J28" s="6"/>
      <c r="K28" s="66" t="s">
        <v>135</v>
      </c>
      <c r="L28" s="66">
        <v>25</v>
      </c>
      <c r="R28" s="6"/>
      <c r="S28" s="6"/>
      <c r="T28" s="6"/>
    </row>
    <row r="29" spans="1:20" x14ac:dyDescent="0.25">
      <c r="A29" s="56" t="s">
        <v>121</v>
      </c>
      <c r="B29" s="33"/>
      <c r="C29" s="33">
        <f>C27*C28*((M7/I4)^2)</f>
        <v>254.92857599999994</v>
      </c>
      <c r="D29" s="6"/>
      <c r="F29" s="33" t="s">
        <v>89</v>
      </c>
      <c r="G29" s="33"/>
      <c r="H29" s="33"/>
      <c r="I29" s="33">
        <f>I23+I27</f>
        <v>0.1573880919820817</v>
      </c>
      <c r="J29" s="6"/>
      <c r="K29" s="66" t="s">
        <v>7</v>
      </c>
      <c r="L29" s="66">
        <v>36</v>
      </c>
      <c r="N29" s="6"/>
      <c r="O29" s="87"/>
      <c r="P29" s="6"/>
      <c r="Q29" s="6"/>
      <c r="R29" s="6"/>
      <c r="S29" s="6"/>
      <c r="T29" s="6"/>
    </row>
    <row r="30" spans="1:20" x14ac:dyDescent="0.25">
      <c r="A30" s="56" t="s">
        <v>122</v>
      </c>
      <c r="B30" s="33"/>
      <c r="C30" s="33">
        <f>0.5*0.5*((M7/I4)^2)</f>
        <v>384.15999999999991</v>
      </c>
      <c r="D30" s="6"/>
      <c r="F30" t="s">
        <v>94</v>
      </c>
      <c r="H30" s="6"/>
      <c r="J30" s="6"/>
      <c r="K30" s="33"/>
      <c r="L30" s="33">
        <f>SQRT(L28/L29)</f>
        <v>0.83333333333333337</v>
      </c>
      <c r="N30" s="69"/>
      <c r="O30" s="88"/>
      <c r="Q30" s="6"/>
      <c r="R30" s="6"/>
      <c r="S30" s="6"/>
      <c r="T30" s="6"/>
    </row>
    <row r="31" spans="1:20" x14ac:dyDescent="0.25">
      <c r="A31" s="56" t="s">
        <v>93</v>
      </c>
      <c r="B31" s="33"/>
      <c r="C31" s="33">
        <f>M7*SQRT(C27*C28/I3)</f>
        <v>3.991620723465595E-2</v>
      </c>
      <c r="D31" s="6"/>
      <c r="F31" s="46" t="s">
        <v>95</v>
      </c>
      <c r="G31" s="46"/>
      <c r="H31" s="33"/>
      <c r="I31" s="46">
        <f>((M7*D4)/I4)^2</f>
        <v>11202.105599999997</v>
      </c>
      <c r="J31" s="6"/>
      <c r="N31" s="6"/>
      <c r="Q31" s="6"/>
      <c r="R31" s="6"/>
      <c r="S31" s="6"/>
      <c r="T31" s="6"/>
    </row>
    <row r="32" spans="1:20" x14ac:dyDescent="0.25">
      <c r="A32" s="56" t="s">
        <v>124</v>
      </c>
      <c r="B32" s="33"/>
      <c r="C32" s="33">
        <f>C27-C31</f>
        <v>0.17008379276534405</v>
      </c>
      <c r="D32" s="6"/>
      <c r="J32" s="6"/>
      <c r="N32" s="69"/>
      <c r="Q32" s="6"/>
      <c r="R32" s="6"/>
      <c r="S32" s="6"/>
      <c r="T32" s="6"/>
    </row>
    <row r="33" spans="1:16" x14ac:dyDescent="0.25">
      <c r="A33" s="56" t="s">
        <v>125</v>
      </c>
      <c r="B33" s="33"/>
      <c r="C33" s="33">
        <f>C27+C31</f>
        <v>0.24991620723465593</v>
      </c>
      <c r="D33" s="82"/>
      <c r="E33" s="82" t="s">
        <v>114</v>
      </c>
      <c r="F33" s="82"/>
      <c r="G33" s="82" t="s">
        <v>108</v>
      </c>
      <c r="H33" s="82"/>
      <c r="I33" s="82">
        <v>0.5</v>
      </c>
      <c r="J33" s="82">
        <v>0.8</v>
      </c>
      <c r="K33" s="82">
        <v>0.9</v>
      </c>
      <c r="L33" s="82">
        <v>0.95</v>
      </c>
      <c r="M33" s="82">
        <v>0.98</v>
      </c>
      <c r="N33" s="82">
        <v>0.99</v>
      </c>
      <c r="P33" s="6"/>
    </row>
    <row r="34" spans="1:16" x14ac:dyDescent="0.25">
      <c r="D34" s="82" t="s">
        <v>141</v>
      </c>
      <c r="E34" s="82"/>
      <c r="F34" s="82"/>
      <c r="G34" s="82" t="s">
        <v>142</v>
      </c>
      <c r="H34" s="82"/>
      <c r="I34" s="82">
        <v>0.25</v>
      </c>
      <c r="J34" s="82">
        <v>0.1</v>
      </c>
      <c r="K34" s="82">
        <v>0.05</v>
      </c>
      <c r="L34" s="82">
        <v>2.5000000000000001E-2</v>
      </c>
      <c r="M34" s="82">
        <v>0.01</v>
      </c>
      <c r="N34" s="82">
        <v>5.0000000000000001E-3</v>
      </c>
      <c r="P34" s="6"/>
    </row>
    <row r="35" spans="1:16" x14ac:dyDescent="0.25">
      <c r="D35" s="82"/>
      <c r="E35" s="82"/>
      <c r="F35" s="82"/>
      <c r="G35" s="82" t="s">
        <v>143</v>
      </c>
      <c r="H35" s="82"/>
      <c r="I35" s="82">
        <v>0.5</v>
      </c>
      <c r="J35" s="82">
        <v>0.2</v>
      </c>
      <c r="K35" s="82">
        <v>0.1</v>
      </c>
      <c r="L35" s="82">
        <v>0.05</v>
      </c>
      <c r="M35" s="82">
        <v>0.02</v>
      </c>
      <c r="N35" s="82">
        <v>0.01</v>
      </c>
      <c r="P35" s="6"/>
    </row>
    <row r="36" spans="1:16" x14ac:dyDescent="0.25">
      <c r="A36" s="69"/>
      <c r="B36" s="69"/>
      <c r="C36" s="69"/>
      <c r="D36" s="82">
        <v>1</v>
      </c>
      <c r="E36" s="82"/>
      <c r="F36" s="82"/>
      <c r="G36" s="82"/>
      <c r="H36" s="82"/>
      <c r="I36" s="83">
        <v>1</v>
      </c>
      <c r="J36" s="83">
        <v>3.0779999999999998</v>
      </c>
      <c r="K36" s="83">
        <v>6.3140000000000001</v>
      </c>
      <c r="L36" s="83">
        <v>12.706</v>
      </c>
      <c r="M36" s="83">
        <v>31.821000000000002</v>
      </c>
      <c r="N36" s="83">
        <v>63.656999999999996</v>
      </c>
    </row>
    <row r="37" spans="1:16" x14ac:dyDescent="0.25">
      <c r="A37" s="69"/>
      <c r="B37" s="69"/>
      <c r="C37" s="69"/>
      <c r="D37" s="82">
        <v>2</v>
      </c>
      <c r="E37" s="82"/>
      <c r="F37" s="82"/>
      <c r="G37" s="82"/>
      <c r="H37" s="82"/>
      <c r="I37" s="83">
        <v>0.81599999999999995</v>
      </c>
      <c r="J37" s="83">
        <v>1.8859999999999999</v>
      </c>
      <c r="K37" s="83">
        <v>2.92</v>
      </c>
      <c r="L37" s="83">
        <v>4.3029999999999999</v>
      </c>
      <c r="M37" s="83">
        <v>6.9649999999999999</v>
      </c>
      <c r="N37" s="83">
        <v>9.9250000000000007</v>
      </c>
    </row>
    <row r="38" spans="1:16" x14ac:dyDescent="0.25">
      <c r="A38" s="69"/>
      <c r="B38" s="69"/>
      <c r="C38" s="69"/>
      <c r="D38" s="82">
        <v>3</v>
      </c>
      <c r="E38" s="82"/>
      <c r="F38" s="82"/>
      <c r="G38" s="82"/>
      <c r="H38" s="82"/>
      <c r="I38" s="83">
        <v>0.76500000000000001</v>
      </c>
      <c r="J38" s="83">
        <v>1.6379999999999999</v>
      </c>
      <c r="K38" s="83">
        <v>2.3530000000000002</v>
      </c>
      <c r="L38" s="83">
        <v>3.1819999999999999</v>
      </c>
      <c r="M38" s="83">
        <v>4.5410000000000004</v>
      </c>
      <c r="N38" s="83">
        <v>5.8410000000000002</v>
      </c>
    </row>
    <row r="39" spans="1:16" x14ac:dyDescent="0.25">
      <c r="A39" s="69"/>
      <c r="B39" s="69"/>
      <c r="C39" s="69"/>
      <c r="D39" s="82">
        <v>4</v>
      </c>
      <c r="E39" s="82"/>
      <c r="F39" s="82"/>
      <c r="G39" s="82"/>
      <c r="H39" s="82"/>
      <c r="I39" s="83">
        <v>0.74099999999999999</v>
      </c>
      <c r="J39" s="83">
        <v>1.5329999999999999</v>
      </c>
      <c r="K39" s="83">
        <v>2.1320000000000001</v>
      </c>
      <c r="L39" s="83">
        <v>2.7759999999999998</v>
      </c>
      <c r="M39" s="83">
        <v>3.7469999999999999</v>
      </c>
      <c r="N39" s="83">
        <v>4.6040000000000001</v>
      </c>
    </row>
    <row r="40" spans="1:16" x14ac:dyDescent="0.25">
      <c r="A40" s="69"/>
      <c r="B40" s="69"/>
      <c r="C40" s="69"/>
      <c r="D40" s="82">
        <v>5</v>
      </c>
      <c r="E40" s="82"/>
      <c r="F40" s="82"/>
      <c r="G40" s="82"/>
      <c r="H40" s="82"/>
      <c r="I40" s="83">
        <v>0.72699999999999998</v>
      </c>
      <c r="J40" s="83">
        <v>1.476</v>
      </c>
      <c r="K40" s="83">
        <v>2.0150000000000001</v>
      </c>
      <c r="L40" s="83">
        <v>2.5710000000000002</v>
      </c>
      <c r="M40" s="83">
        <v>3.3650000000000002</v>
      </c>
      <c r="N40" s="83">
        <v>4.032</v>
      </c>
    </row>
    <row r="41" spans="1:16" x14ac:dyDescent="0.25">
      <c r="A41" s="69"/>
      <c r="B41" s="69"/>
      <c r="C41" s="69"/>
      <c r="D41" s="82">
        <v>6</v>
      </c>
      <c r="E41" s="82"/>
      <c r="F41" s="82"/>
      <c r="G41" s="82"/>
      <c r="H41" s="82"/>
      <c r="I41" s="83">
        <v>0.71799999999999997</v>
      </c>
      <c r="J41" s="83">
        <v>1.44</v>
      </c>
      <c r="K41" s="83">
        <v>1.9430000000000001</v>
      </c>
      <c r="L41" s="83">
        <v>2.4470000000000001</v>
      </c>
      <c r="M41" s="83">
        <v>3.1429999999999998</v>
      </c>
      <c r="N41" s="83">
        <v>3.7069999999999999</v>
      </c>
    </row>
    <row r="42" spans="1:16" x14ac:dyDescent="0.25">
      <c r="A42" s="69"/>
      <c r="B42" s="69"/>
      <c r="C42" s="69"/>
      <c r="D42" s="82">
        <v>7</v>
      </c>
      <c r="E42" s="82"/>
      <c r="F42" s="82"/>
      <c r="G42" s="82"/>
      <c r="H42" s="82"/>
      <c r="I42" s="83">
        <v>0.71099999999999997</v>
      </c>
      <c r="J42" s="83">
        <v>1.415</v>
      </c>
      <c r="K42" s="83">
        <v>1.895</v>
      </c>
      <c r="L42" s="83">
        <v>2.3650000000000002</v>
      </c>
      <c r="M42" s="83">
        <v>2.9980000000000002</v>
      </c>
      <c r="N42" s="83">
        <v>3.4990000000000001</v>
      </c>
    </row>
    <row r="43" spans="1:16" x14ac:dyDescent="0.25">
      <c r="A43" s="69"/>
      <c r="B43" s="69"/>
      <c r="C43" s="69"/>
      <c r="D43" s="82">
        <v>8</v>
      </c>
      <c r="E43" s="82"/>
      <c r="F43" s="82"/>
      <c r="G43" s="82"/>
      <c r="H43" s="82"/>
      <c r="I43" s="83">
        <v>0.70599999999999996</v>
      </c>
      <c r="J43" s="83">
        <v>1.397</v>
      </c>
      <c r="K43" s="83">
        <v>1.86</v>
      </c>
      <c r="L43" s="83">
        <v>2.306</v>
      </c>
      <c r="M43" s="83">
        <v>2.8959999999999999</v>
      </c>
      <c r="N43" s="83">
        <v>3.355</v>
      </c>
    </row>
    <row r="44" spans="1:16" x14ac:dyDescent="0.25">
      <c r="A44" s="69"/>
      <c r="B44" s="69"/>
      <c r="C44" s="69"/>
      <c r="D44" s="82">
        <v>9</v>
      </c>
      <c r="E44" s="82"/>
      <c r="F44" s="82"/>
      <c r="G44" s="82"/>
      <c r="H44" s="82"/>
      <c r="I44" s="83">
        <v>0.70299999999999996</v>
      </c>
      <c r="J44" s="83">
        <v>1.383</v>
      </c>
      <c r="K44" s="83">
        <v>1.833</v>
      </c>
      <c r="L44" s="83">
        <v>2.262</v>
      </c>
      <c r="M44" s="83">
        <v>2.8210000000000002</v>
      </c>
      <c r="N44" s="83">
        <v>3.25</v>
      </c>
    </row>
    <row r="45" spans="1:16" x14ac:dyDescent="0.25">
      <c r="A45" s="69"/>
      <c r="B45" s="69"/>
      <c r="C45" s="69"/>
      <c r="D45" s="82">
        <v>10</v>
      </c>
      <c r="E45" s="82"/>
      <c r="F45" s="82"/>
      <c r="G45" s="82"/>
      <c r="H45" s="82"/>
      <c r="I45" s="83">
        <v>0.7</v>
      </c>
      <c r="J45" s="83">
        <v>1.3720000000000001</v>
      </c>
      <c r="K45" s="83">
        <v>1.8120000000000001</v>
      </c>
      <c r="L45" s="83">
        <v>2.2280000000000002</v>
      </c>
      <c r="M45" s="83">
        <v>2.7639999999999998</v>
      </c>
      <c r="N45" s="83">
        <v>3.169</v>
      </c>
    </row>
    <row r="46" spans="1:16" x14ac:dyDescent="0.25">
      <c r="A46" s="69"/>
      <c r="B46" s="69"/>
      <c r="C46" s="69"/>
      <c r="D46" s="82">
        <v>11</v>
      </c>
      <c r="E46" s="82"/>
      <c r="F46" s="82"/>
      <c r="G46" s="82"/>
      <c r="H46" s="82"/>
      <c r="I46" s="83">
        <v>0.69699999999999995</v>
      </c>
      <c r="J46" s="83">
        <v>1.363</v>
      </c>
      <c r="K46" s="83">
        <v>1.796</v>
      </c>
      <c r="L46" s="83">
        <v>2.2010000000000001</v>
      </c>
      <c r="M46" s="83">
        <v>2.718</v>
      </c>
      <c r="N46" s="83">
        <v>3.1059999999999999</v>
      </c>
    </row>
    <row r="47" spans="1:16" x14ac:dyDescent="0.25">
      <c r="A47" s="69"/>
      <c r="B47" s="69"/>
      <c r="C47" s="69"/>
      <c r="D47" s="82">
        <v>12</v>
      </c>
      <c r="E47" s="82"/>
      <c r="F47" s="82"/>
      <c r="G47" s="82"/>
      <c r="H47" s="82"/>
      <c r="I47" s="83">
        <v>0.69499999999999995</v>
      </c>
      <c r="J47" s="83">
        <v>1.3560000000000001</v>
      </c>
      <c r="K47" s="83">
        <v>1.782</v>
      </c>
      <c r="L47" s="83">
        <v>2.1789999999999998</v>
      </c>
      <c r="M47" s="83">
        <v>2.681</v>
      </c>
      <c r="N47" s="83">
        <v>3.0550000000000002</v>
      </c>
    </row>
    <row r="48" spans="1:16" x14ac:dyDescent="0.25">
      <c r="A48" s="69"/>
      <c r="B48" s="69"/>
      <c r="C48" s="69"/>
      <c r="D48" s="82">
        <v>13</v>
      </c>
      <c r="E48" s="82"/>
      <c r="F48" s="82"/>
      <c r="G48" s="82"/>
      <c r="H48" s="82"/>
      <c r="I48" s="83">
        <v>0.69399999999999995</v>
      </c>
      <c r="J48" s="83">
        <v>1.35</v>
      </c>
      <c r="K48" s="83">
        <v>1.7709999999999999</v>
      </c>
      <c r="L48" s="83">
        <v>2.16</v>
      </c>
      <c r="M48" s="83">
        <v>2.65</v>
      </c>
      <c r="N48" s="83">
        <v>3.012</v>
      </c>
    </row>
    <row r="49" spans="1:14" x14ac:dyDescent="0.25">
      <c r="A49" s="69"/>
      <c r="B49" s="69"/>
      <c r="C49" s="69"/>
      <c r="D49" s="82">
        <v>14</v>
      </c>
      <c r="E49" s="82"/>
      <c r="F49" s="82"/>
      <c r="G49" s="82"/>
      <c r="H49" s="82"/>
      <c r="I49" s="83">
        <v>0.69199999999999995</v>
      </c>
      <c r="J49" s="83">
        <v>1.345</v>
      </c>
      <c r="K49" s="83">
        <v>1.7609999999999999</v>
      </c>
      <c r="L49" s="83">
        <v>2.145</v>
      </c>
      <c r="M49" s="83">
        <v>2.6240000000000001</v>
      </c>
      <c r="N49" s="83">
        <v>2.9769999999999999</v>
      </c>
    </row>
    <row r="50" spans="1:14" x14ac:dyDescent="0.25">
      <c r="A50" s="69"/>
      <c r="B50" s="69"/>
      <c r="C50" s="69"/>
      <c r="D50" s="82">
        <v>15</v>
      </c>
      <c r="E50" s="82"/>
      <c r="F50" s="82"/>
      <c r="G50" s="82"/>
      <c r="H50" s="82"/>
      <c r="I50" s="83">
        <v>0.69099999999999995</v>
      </c>
      <c r="J50" s="83">
        <v>1.341</v>
      </c>
      <c r="K50" s="83">
        <v>1.7529999999999999</v>
      </c>
      <c r="L50" s="83">
        <v>2.1309999999999998</v>
      </c>
      <c r="M50" s="83">
        <v>2.6019999999999999</v>
      </c>
      <c r="N50" s="83">
        <v>2.9470000000000001</v>
      </c>
    </row>
    <row r="51" spans="1:14" x14ac:dyDescent="0.25">
      <c r="A51" s="69"/>
      <c r="B51" s="69"/>
      <c r="C51" s="69"/>
      <c r="D51" s="82">
        <v>16</v>
      </c>
      <c r="E51" s="82"/>
      <c r="F51" s="82"/>
      <c r="G51" s="82"/>
      <c r="H51" s="82"/>
      <c r="I51" s="83">
        <v>0.69</v>
      </c>
      <c r="J51" s="83">
        <v>1.337</v>
      </c>
      <c r="K51" s="83">
        <v>1.746</v>
      </c>
      <c r="L51" s="83">
        <v>2.12</v>
      </c>
      <c r="M51" s="83">
        <v>2.5830000000000002</v>
      </c>
      <c r="N51" s="83">
        <v>2.9209999999999998</v>
      </c>
    </row>
    <row r="52" spans="1:14" x14ac:dyDescent="0.25">
      <c r="A52" s="69"/>
      <c r="B52" s="69"/>
      <c r="C52" s="69"/>
      <c r="D52" s="82">
        <v>17</v>
      </c>
      <c r="E52" s="82"/>
      <c r="F52" s="82"/>
      <c r="G52" s="82"/>
      <c r="H52" s="82"/>
      <c r="I52" s="83">
        <v>0.68899999999999995</v>
      </c>
      <c r="J52" s="83">
        <v>1.333</v>
      </c>
      <c r="K52" s="83">
        <v>1.74</v>
      </c>
      <c r="L52" s="83">
        <v>2.11</v>
      </c>
      <c r="M52" s="83">
        <v>2.5670000000000002</v>
      </c>
      <c r="N52" s="83">
        <v>2.8980000000000001</v>
      </c>
    </row>
    <row r="53" spans="1:14" x14ac:dyDescent="0.25">
      <c r="A53" s="69"/>
      <c r="B53" s="69"/>
      <c r="C53" s="69"/>
      <c r="D53" s="82">
        <v>18</v>
      </c>
      <c r="E53" s="82"/>
      <c r="F53" s="82"/>
      <c r="G53" s="82"/>
      <c r="H53" s="82"/>
      <c r="I53" s="83">
        <v>0.68799999999999994</v>
      </c>
      <c r="J53" s="83">
        <v>1.33</v>
      </c>
      <c r="K53" s="83">
        <v>1.734</v>
      </c>
      <c r="L53" s="83">
        <v>2.101</v>
      </c>
      <c r="M53" s="83">
        <v>2.552</v>
      </c>
      <c r="N53" s="83">
        <v>2.8780000000000001</v>
      </c>
    </row>
    <row r="54" spans="1:14" x14ac:dyDescent="0.25">
      <c r="A54" s="69"/>
      <c r="B54" s="69"/>
      <c r="C54" s="69"/>
      <c r="D54" s="82">
        <v>19</v>
      </c>
      <c r="E54" s="82"/>
      <c r="F54" s="82"/>
      <c r="G54" s="82"/>
      <c r="H54" s="82"/>
      <c r="I54" s="83">
        <v>0.68799999999999994</v>
      </c>
      <c r="J54" s="83">
        <v>1.3280000000000001</v>
      </c>
      <c r="K54" s="83">
        <v>1.7290000000000001</v>
      </c>
      <c r="L54" s="83">
        <v>2.093</v>
      </c>
      <c r="M54" s="83">
        <v>2.5390000000000001</v>
      </c>
      <c r="N54" s="83">
        <v>2.8610000000000002</v>
      </c>
    </row>
    <row r="55" spans="1:14" x14ac:dyDescent="0.25">
      <c r="A55" s="69"/>
      <c r="B55" s="69"/>
      <c r="C55" s="69"/>
      <c r="D55" s="82">
        <v>20</v>
      </c>
      <c r="E55" s="82"/>
      <c r="F55" s="82"/>
      <c r="G55" s="82"/>
      <c r="H55" s="82"/>
      <c r="I55" s="83">
        <v>0.68700000000000006</v>
      </c>
      <c r="J55" s="83">
        <v>1.325</v>
      </c>
      <c r="K55" s="83">
        <v>1.7250000000000001</v>
      </c>
      <c r="L55" s="83">
        <v>2.0859999999999999</v>
      </c>
      <c r="M55" s="83">
        <v>2.528</v>
      </c>
      <c r="N55" s="83">
        <v>2.8450000000000002</v>
      </c>
    </row>
    <row r="56" spans="1:14" x14ac:dyDescent="0.25">
      <c r="A56" s="69"/>
      <c r="B56" s="69"/>
      <c r="C56" s="69"/>
      <c r="D56" s="82">
        <v>21</v>
      </c>
      <c r="E56" s="82"/>
      <c r="F56" s="82"/>
      <c r="G56" s="82"/>
      <c r="H56" s="82"/>
      <c r="I56" s="83">
        <v>0.68600000000000005</v>
      </c>
      <c r="J56" s="83">
        <v>1.323</v>
      </c>
      <c r="K56" s="83">
        <v>1.7210000000000001</v>
      </c>
      <c r="L56" s="83">
        <v>2.08</v>
      </c>
      <c r="M56" s="83">
        <v>2.5179999999999998</v>
      </c>
      <c r="N56" s="83">
        <v>2.831</v>
      </c>
    </row>
    <row r="57" spans="1:14" x14ac:dyDescent="0.25">
      <c r="A57" s="69"/>
      <c r="B57" s="69"/>
      <c r="C57" s="69"/>
      <c r="D57" s="82">
        <v>22</v>
      </c>
      <c r="E57" s="82"/>
      <c r="F57" s="82"/>
      <c r="G57" s="82"/>
      <c r="H57" s="82"/>
      <c r="I57" s="83">
        <v>0.68600000000000005</v>
      </c>
      <c r="J57" s="83">
        <v>1.321</v>
      </c>
      <c r="K57" s="83">
        <v>1.7170000000000001</v>
      </c>
      <c r="L57" s="83">
        <v>2.0739999999999998</v>
      </c>
      <c r="M57" s="83">
        <v>2.508</v>
      </c>
      <c r="N57" s="83">
        <v>2.819</v>
      </c>
    </row>
    <row r="58" spans="1:14" x14ac:dyDescent="0.25">
      <c r="A58" s="69"/>
      <c r="B58" s="69"/>
      <c r="C58" s="69"/>
      <c r="D58" s="82">
        <v>23</v>
      </c>
      <c r="E58" s="82"/>
      <c r="F58" s="82"/>
      <c r="G58" s="82"/>
      <c r="H58" s="82"/>
      <c r="I58" s="83">
        <v>0.68500000000000005</v>
      </c>
      <c r="J58" s="83">
        <v>1.319</v>
      </c>
      <c r="K58" s="83">
        <v>1.714</v>
      </c>
      <c r="L58" s="83">
        <v>2.069</v>
      </c>
      <c r="M58" s="83">
        <v>2.5</v>
      </c>
      <c r="N58" s="83">
        <v>2.8069999999999999</v>
      </c>
    </row>
    <row r="59" spans="1:14" x14ac:dyDescent="0.25">
      <c r="A59" s="69"/>
      <c r="B59" s="69"/>
      <c r="C59" s="69"/>
      <c r="D59" s="82">
        <v>24</v>
      </c>
      <c r="E59" s="82"/>
      <c r="F59" s="82"/>
      <c r="G59" s="82"/>
      <c r="H59" s="82"/>
      <c r="I59" s="83">
        <v>0.68500000000000005</v>
      </c>
      <c r="J59" s="83">
        <v>1.3180000000000001</v>
      </c>
      <c r="K59" s="83">
        <v>1.7110000000000001</v>
      </c>
      <c r="L59" s="83">
        <v>2.0640000000000001</v>
      </c>
      <c r="M59" s="83">
        <v>2.492</v>
      </c>
      <c r="N59" s="83">
        <v>2.7970000000000002</v>
      </c>
    </row>
    <row r="60" spans="1:14" x14ac:dyDescent="0.25">
      <c r="A60" s="69"/>
      <c r="B60" s="69"/>
      <c r="C60" s="69"/>
      <c r="D60" s="82">
        <v>25</v>
      </c>
      <c r="E60" s="82"/>
      <c r="F60" s="82"/>
      <c r="G60" s="82"/>
      <c r="H60" s="82"/>
      <c r="I60" s="83">
        <v>0.68400000000000005</v>
      </c>
      <c r="J60" s="83">
        <v>1.3160000000000001</v>
      </c>
      <c r="K60" s="83">
        <v>1.708</v>
      </c>
      <c r="L60" s="83">
        <v>2.06</v>
      </c>
      <c r="M60" s="83">
        <v>2.4849999999999999</v>
      </c>
      <c r="N60" s="83">
        <v>2.7869999999999999</v>
      </c>
    </row>
    <row r="61" spans="1:14" x14ac:dyDescent="0.25">
      <c r="A61" s="69"/>
      <c r="B61" s="69"/>
      <c r="C61" s="69"/>
      <c r="D61" s="82">
        <v>26</v>
      </c>
      <c r="E61" s="82"/>
      <c r="F61" s="82"/>
      <c r="G61" s="82"/>
      <c r="H61" s="82"/>
      <c r="I61" s="83">
        <v>0.68400000000000005</v>
      </c>
      <c r="J61" s="83">
        <v>1.3149999999999999</v>
      </c>
      <c r="K61" s="83">
        <v>1.706</v>
      </c>
      <c r="L61" s="83">
        <v>2.056</v>
      </c>
      <c r="M61" s="83">
        <v>2.4790000000000001</v>
      </c>
      <c r="N61" s="83">
        <v>2.7789999999999999</v>
      </c>
    </row>
    <row r="62" spans="1:14" x14ac:dyDescent="0.25">
      <c r="A62" s="69"/>
      <c r="B62" s="69"/>
      <c r="C62" s="69"/>
      <c r="D62" s="82">
        <v>27</v>
      </c>
      <c r="E62" s="82"/>
      <c r="F62" s="82"/>
      <c r="G62" s="82"/>
      <c r="H62" s="82"/>
      <c r="I62" s="83">
        <v>0.68400000000000005</v>
      </c>
      <c r="J62" s="83">
        <v>1.3140000000000001</v>
      </c>
      <c r="K62" s="83">
        <v>1.7030000000000001</v>
      </c>
      <c r="L62" s="83">
        <v>2.052</v>
      </c>
      <c r="M62" s="83">
        <v>2.4729999999999999</v>
      </c>
      <c r="N62" s="83">
        <v>2.7709999999999999</v>
      </c>
    </row>
    <row r="63" spans="1:14" x14ac:dyDescent="0.25">
      <c r="A63" s="69"/>
      <c r="B63" s="69"/>
      <c r="C63" s="69"/>
      <c r="D63" s="82">
        <v>28</v>
      </c>
      <c r="E63" s="82"/>
      <c r="F63" s="82"/>
      <c r="G63" s="82"/>
      <c r="H63" s="82"/>
      <c r="I63" s="83">
        <v>0.68300000000000005</v>
      </c>
      <c r="J63" s="83">
        <v>1.3129999999999999</v>
      </c>
      <c r="K63" s="83">
        <v>1.7010000000000001</v>
      </c>
      <c r="L63" s="83">
        <v>2.048</v>
      </c>
      <c r="M63" s="83">
        <v>2.4670000000000001</v>
      </c>
      <c r="N63" s="83">
        <v>2.7629999999999999</v>
      </c>
    </row>
    <row r="64" spans="1:14" x14ac:dyDescent="0.25">
      <c r="A64" s="69"/>
      <c r="B64" s="69"/>
      <c r="C64" s="69"/>
      <c r="D64" s="82">
        <v>29</v>
      </c>
      <c r="E64" s="82"/>
      <c r="F64" s="82"/>
      <c r="G64" s="82"/>
      <c r="H64" s="82"/>
      <c r="I64" s="83">
        <v>0.68300000000000005</v>
      </c>
      <c r="J64" s="83">
        <v>1.3109999999999999</v>
      </c>
      <c r="K64" s="83">
        <v>1.6990000000000001</v>
      </c>
      <c r="L64" s="83">
        <v>2.0449999999999999</v>
      </c>
      <c r="M64" s="83">
        <v>2.4620000000000002</v>
      </c>
      <c r="N64" s="83">
        <v>2.7559999999999998</v>
      </c>
    </row>
    <row r="65" spans="1:14" x14ac:dyDescent="0.25">
      <c r="A65" s="69"/>
      <c r="B65" s="69"/>
      <c r="C65" s="69"/>
      <c r="D65" s="82">
        <v>30</v>
      </c>
      <c r="E65" s="82"/>
      <c r="F65" s="82"/>
      <c r="G65" s="82"/>
      <c r="H65" s="82"/>
      <c r="I65" s="83">
        <v>0.67400000000000004</v>
      </c>
      <c r="J65" s="83">
        <v>1.282</v>
      </c>
      <c r="K65" s="83">
        <v>1.645</v>
      </c>
      <c r="L65" s="83">
        <v>1.96</v>
      </c>
      <c r="M65" s="83">
        <v>2.3260000000000001</v>
      </c>
      <c r="N65" s="83">
        <v>2.5760000000000001</v>
      </c>
    </row>
    <row r="66" spans="1:14" x14ac:dyDescent="0.25">
      <c r="A66" s="69"/>
      <c r="B66" s="69"/>
      <c r="C66" s="69"/>
      <c r="D66" s="69"/>
      <c r="E66" s="69"/>
      <c r="F66" s="69"/>
      <c r="G66" s="69"/>
      <c r="H66" s="69"/>
    </row>
    <row r="67" spans="1:14" x14ac:dyDescent="0.25">
      <c r="A67" s="69"/>
      <c r="B67" s="69"/>
      <c r="C67" s="69"/>
      <c r="D67" s="69"/>
      <c r="E67" s="69"/>
      <c r="F67" s="69"/>
      <c r="G67" s="69"/>
      <c r="H67" s="6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A5" sqref="A5"/>
    </sheetView>
  </sheetViews>
  <sheetFormatPr defaultRowHeight="15" x14ac:dyDescent="0.25"/>
  <sheetData>
    <row r="1" spans="1:14" x14ac:dyDescent="0.25">
      <c r="A1" s="69" t="s">
        <v>144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x14ac:dyDescent="0.25">
      <c r="A2" s="85" t="s">
        <v>145</v>
      </c>
      <c r="B2" s="84"/>
      <c r="C2" s="84"/>
      <c r="D2" s="84"/>
      <c r="E2" s="84"/>
      <c r="F2" s="84"/>
      <c r="G2" s="84"/>
      <c r="H2" s="84"/>
      <c r="I2" s="84"/>
      <c r="J2" s="84"/>
      <c r="K2" s="69"/>
      <c r="L2" s="48"/>
      <c r="M2" s="47"/>
      <c r="N2" s="69"/>
    </row>
    <row r="3" spans="1:14" x14ac:dyDescent="0.25">
      <c r="A3" s="85" t="s">
        <v>146</v>
      </c>
      <c r="B3" s="84"/>
      <c r="C3" s="84"/>
      <c r="D3" s="84"/>
      <c r="E3" s="84"/>
      <c r="F3" s="84"/>
      <c r="G3" s="84"/>
      <c r="H3" s="84"/>
      <c r="I3" s="84"/>
      <c r="J3" s="84"/>
      <c r="K3" s="69"/>
      <c r="L3" s="48"/>
      <c r="M3" s="48"/>
      <c r="N3" s="69"/>
    </row>
    <row r="4" spans="1:14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69"/>
      <c r="L4" s="48"/>
      <c r="M4" s="48"/>
      <c r="N4" s="69"/>
    </row>
    <row r="5" spans="1:14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69"/>
      <c r="L5" s="48"/>
      <c r="M5" s="48"/>
      <c r="N5" s="69"/>
    </row>
    <row r="6" spans="1:14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69"/>
      <c r="L6" s="48"/>
      <c r="M6" s="48"/>
      <c r="N6" s="69"/>
    </row>
    <row r="7" spans="1:14" x14ac:dyDescent="0.25">
      <c r="A7" s="84"/>
      <c r="B7" s="84"/>
      <c r="C7" s="84"/>
      <c r="D7" s="84"/>
      <c r="E7" s="84"/>
      <c r="F7" s="84"/>
      <c r="G7" s="84"/>
      <c r="H7" s="84"/>
      <c r="I7" s="84"/>
      <c r="J7" s="84"/>
      <c r="K7" s="69"/>
      <c r="L7" s="48"/>
      <c r="M7" s="48"/>
      <c r="N7" s="69"/>
    </row>
    <row r="8" spans="1:14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69"/>
      <c r="L8" s="69"/>
      <c r="M8" s="69"/>
      <c r="N8" s="69"/>
    </row>
    <row r="9" spans="1:14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69"/>
      <c r="L9" s="69"/>
      <c r="M9" s="69"/>
      <c r="N9" s="69"/>
    </row>
    <row r="10" spans="1:14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69"/>
      <c r="L10" s="69"/>
      <c r="M10" s="69"/>
      <c r="N10" s="69"/>
    </row>
    <row r="11" spans="1:14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69"/>
      <c r="L11" s="69"/>
      <c r="M11" s="69"/>
      <c r="N11" s="69"/>
    </row>
    <row r="12" spans="1:14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69"/>
      <c r="L12" s="69"/>
      <c r="M12" s="69"/>
      <c r="N12" s="69"/>
    </row>
    <row r="13" spans="1:14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69"/>
      <c r="L13" s="69"/>
      <c r="M13" s="69"/>
      <c r="N13" s="69"/>
    </row>
    <row r="14" spans="1:14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69"/>
      <c r="L14" s="69"/>
      <c r="M14" s="69"/>
      <c r="N14" s="69"/>
    </row>
    <row r="15" spans="1:14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69"/>
      <c r="L15" s="69"/>
      <c r="M15" s="69"/>
      <c r="N15" s="69"/>
    </row>
    <row r="16" spans="1:14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69"/>
      <c r="L16" s="69"/>
      <c r="M16" s="69"/>
      <c r="N16" s="69"/>
    </row>
    <row r="17" spans="1:14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69"/>
      <c r="L17" s="69"/>
      <c r="M17" s="69"/>
      <c r="N17" s="69"/>
    </row>
    <row r="18" spans="1:14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69"/>
      <c r="L18" s="69"/>
      <c r="M18" s="69"/>
      <c r="N18" s="69"/>
    </row>
    <row r="19" spans="1:14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69"/>
      <c r="L19" s="69"/>
      <c r="M19" s="69"/>
      <c r="N19" s="69"/>
    </row>
    <row r="20" spans="1:14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69"/>
      <c r="L20" s="69"/>
      <c r="M20" s="69"/>
      <c r="N20" s="69"/>
    </row>
    <row r="21" spans="1:14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69"/>
      <c r="L21" s="69"/>
      <c r="M21" s="69"/>
      <c r="N21" s="69"/>
    </row>
    <row r="22" spans="1:14" x14ac:dyDescent="0.25">
      <c r="A22" s="82"/>
      <c r="B22" s="82" t="s">
        <v>114</v>
      </c>
      <c r="C22" s="82"/>
      <c r="D22" s="82" t="s">
        <v>108</v>
      </c>
      <c r="E22" s="82"/>
      <c r="F22" s="82">
        <v>0.5</v>
      </c>
      <c r="G22" s="82">
        <v>0.8</v>
      </c>
      <c r="H22" s="82">
        <v>0.9</v>
      </c>
      <c r="I22" s="82">
        <v>0.95</v>
      </c>
      <c r="J22" s="82">
        <v>0.98</v>
      </c>
      <c r="K22" s="82">
        <v>0.99</v>
      </c>
      <c r="L22" s="69"/>
      <c r="M22" s="69"/>
      <c r="N22" s="69"/>
    </row>
    <row r="23" spans="1:14" x14ac:dyDescent="0.25">
      <c r="A23" s="82" t="s">
        <v>141</v>
      </c>
      <c r="B23" s="82"/>
      <c r="C23" s="82"/>
      <c r="D23" s="82" t="s">
        <v>142</v>
      </c>
      <c r="E23" s="82"/>
      <c r="F23" s="82">
        <v>0.25</v>
      </c>
      <c r="G23" s="82">
        <v>0.1</v>
      </c>
      <c r="H23" s="82">
        <v>0.05</v>
      </c>
      <c r="I23" s="82">
        <v>2.5000000000000001E-2</v>
      </c>
      <c r="J23" s="82">
        <v>0.01</v>
      </c>
      <c r="K23" s="82">
        <v>5.0000000000000001E-3</v>
      </c>
      <c r="L23" s="69"/>
      <c r="M23" s="69"/>
      <c r="N23" s="69"/>
    </row>
    <row r="24" spans="1:14" x14ac:dyDescent="0.25">
      <c r="A24" s="82"/>
      <c r="B24" s="82"/>
      <c r="C24" s="82"/>
      <c r="D24" s="82" t="s">
        <v>143</v>
      </c>
      <c r="E24" s="82"/>
      <c r="F24" s="82">
        <v>0.5</v>
      </c>
      <c r="G24" s="82">
        <v>0.2</v>
      </c>
      <c r="H24" s="82">
        <v>0.1</v>
      </c>
      <c r="I24" s="82">
        <v>0.05</v>
      </c>
      <c r="J24" s="82">
        <v>0.02</v>
      </c>
      <c r="K24" s="82">
        <v>0.01</v>
      </c>
      <c r="L24" s="69"/>
      <c r="M24" s="69"/>
      <c r="N24" s="69"/>
    </row>
    <row r="25" spans="1:14" x14ac:dyDescent="0.25">
      <c r="A25" s="82">
        <v>1</v>
      </c>
      <c r="B25" s="82"/>
      <c r="C25" s="82"/>
      <c r="D25" s="82"/>
      <c r="E25" s="82"/>
      <c r="F25" s="83">
        <v>1</v>
      </c>
      <c r="G25" s="83">
        <v>3.0779999999999998</v>
      </c>
      <c r="H25" s="83">
        <v>6.3140000000000001</v>
      </c>
      <c r="I25" s="83">
        <v>12.706</v>
      </c>
      <c r="J25" s="83">
        <v>31.821000000000002</v>
      </c>
      <c r="K25" s="83">
        <v>63.656999999999996</v>
      </c>
    </row>
    <row r="26" spans="1:14" x14ac:dyDescent="0.25">
      <c r="A26" s="82">
        <v>2</v>
      </c>
      <c r="B26" s="82"/>
      <c r="C26" s="82"/>
      <c r="D26" s="82"/>
      <c r="E26" s="82"/>
      <c r="F26" s="83">
        <v>0.81599999999999995</v>
      </c>
      <c r="G26" s="83">
        <v>1.8859999999999999</v>
      </c>
      <c r="H26" s="83">
        <v>2.92</v>
      </c>
      <c r="I26" s="83">
        <v>4.3029999999999999</v>
      </c>
      <c r="J26" s="83">
        <v>6.9649999999999999</v>
      </c>
      <c r="K26" s="83">
        <v>9.9250000000000007</v>
      </c>
    </row>
    <row r="27" spans="1:14" x14ac:dyDescent="0.25">
      <c r="A27" s="82">
        <v>3</v>
      </c>
      <c r="B27" s="82"/>
      <c r="C27" s="82"/>
      <c r="D27" s="82"/>
      <c r="E27" s="82"/>
      <c r="F27" s="83">
        <v>0.76500000000000001</v>
      </c>
      <c r="G27" s="83">
        <v>1.6379999999999999</v>
      </c>
      <c r="H27" s="83">
        <v>2.3530000000000002</v>
      </c>
      <c r="I27" s="83">
        <v>3.1819999999999999</v>
      </c>
      <c r="J27" s="83">
        <v>4.5410000000000004</v>
      </c>
      <c r="K27" s="83">
        <v>5.8410000000000002</v>
      </c>
    </row>
    <row r="28" spans="1:14" x14ac:dyDescent="0.25">
      <c r="A28" s="82">
        <v>4</v>
      </c>
      <c r="B28" s="82"/>
      <c r="C28" s="82"/>
      <c r="D28" s="82"/>
      <c r="E28" s="82"/>
      <c r="F28" s="83">
        <v>0.74099999999999999</v>
      </c>
      <c r="G28" s="83">
        <v>1.5329999999999999</v>
      </c>
      <c r="H28" s="83">
        <v>2.1320000000000001</v>
      </c>
      <c r="I28" s="83">
        <v>2.7759999999999998</v>
      </c>
      <c r="J28" s="83">
        <v>3.7469999999999999</v>
      </c>
      <c r="K28" s="83">
        <v>4.6040000000000001</v>
      </c>
    </row>
    <row r="29" spans="1:14" x14ac:dyDescent="0.25">
      <c r="A29" s="82">
        <v>5</v>
      </c>
      <c r="B29" s="82"/>
      <c r="C29" s="82"/>
      <c r="D29" s="82"/>
      <c r="E29" s="82"/>
      <c r="F29" s="83">
        <v>0.72699999999999998</v>
      </c>
      <c r="G29" s="83">
        <v>1.476</v>
      </c>
      <c r="H29" s="83">
        <v>2.0150000000000001</v>
      </c>
      <c r="I29" s="83">
        <v>2.5710000000000002</v>
      </c>
      <c r="J29" s="83">
        <v>3.3650000000000002</v>
      </c>
      <c r="K29" s="83">
        <v>4.032</v>
      </c>
    </row>
    <row r="30" spans="1:14" x14ac:dyDescent="0.25">
      <c r="A30" s="82">
        <v>6</v>
      </c>
      <c r="B30" s="82"/>
      <c r="C30" s="82"/>
      <c r="D30" s="82"/>
      <c r="E30" s="82"/>
      <c r="F30" s="83">
        <v>0.71799999999999997</v>
      </c>
      <c r="G30" s="83">
        <v>1.44</v>
      </c>
      <c r="H30" s="83">
        <v>1.9430000000000001</v>
      </c>
      <c r="I30" s="83">
        <v>2.4470000000000001</v>
      </c>
      <c r="J30" s="83">
        <v>3.1429999999999998</v>
      </c>
      <c r="K30" s="83">
        <v>3.7069999999999999</v>
      </c>
    </row>
    <row r="31" spans="1:14" x14ac:dyDescent="0.25">
      <c r="A31" s="82">
        <v>7</v>
      </c>
      <c r="B31" s="82"/>
      <c r="C31" s="82"/>
      <c r="D31" s="82"/>
      <c r="E31" s="82"/>
      <c r="F31" s="83">
        <v>0.71099999999999997</v>
      </c>
      <c r="G31" s="83">
        <v>1.415</v>
      </c>
      <c r="H31" s="83">
        <v>1.895</v>
      </c>
      <c r="I31" s="83">
        <v>2.3650000000000002</v>
      </c>
      <c r="J31" s="83">
        <v>2.9980000000000002</v>
      </c>
      <c r="K31" s="83">
        <v>3.4990000000000001</v>
      </c>
    </row>
    <row r="32" spans="1:14" x14ac:dyDescent="0.25">
      <c r="A32" s="82">
        <v>8</v>
      </c>
      <c r="B32" s="82"/>
      <c r="C32" s="82"/>
      <c r="D32" s="82"/>
      <c r="E32" s="82"/>
      <c r="F32" s="83">
        <v>0.70599999999999996</v>
      </c>
      <c r="G32" s="83">
        <v>1.397</v>
      </c>
      <c r="H32" s="83">
        <v>1.86</v>
      </c>
      <c r="I32" s="83">
        <v>2.306</v>
      </c>
      <c r="J32" s="83">
        <v>2.8959999999999999</v>
      </c>
      <c r="K32" s="83">
        <v>3.355</v>
      </c>
    </row>
    <row r="33" spans="1:11" x14ac:dyDescent="0.25">
      <c r="A33" s="82">
        <v>9</v>
      </c>
      <c r="B33" s="82"/>
      <c r="C33" s="82"/>
      <c r="D33" s="82"/>
      <c r="E33" s="82"/>
      <c r="F33" s="83">
        <v>0.70299999999999996</v>
      </c>
      <c r="G33" s="83">
        <v>1.383</v>
      </c>
      <c r="H33" s="83">
        <v>1.833</v>
      </c>
      <c r="I33" s="83">
        <v>2.262</v>
      </c>
      <c r="J33" s="83">
        <v>2.8210000000000002</v>
      </c>
      <c r="K33" s="83">
        <v>3.25</v>
      </c>
    </row>
    <row r="34" spans="1:11" x14ac:dyDescent="0.25">
      <c r="A34" s="82">
        <v>10</v>
      </c>
      <c r="B34" s="82"/>
      <c r="C34" s="82"/>
      <c r="D34" s="82"/>
      <c r="E34" s="82"/>
      <c r="F34" s="83">
        <v>0.7</v>
      </c>
      <c r="G34" s="83">
        <v>1.3720000000000001</v>
      </c>
      <c r="H34" s="83">
        <v>1.8120000000000001</v>
      </c>
      <c r="I34" s="83">
        <v>2.2280000000000002</v>
      </c>
      <c r="J34" s="83">
        <v>2.7639999999999998</v>
      </c>
      <c r="K34" s="83">
        <v>3.169</v>
      </c>
    </row>
    <row r="35" spans="1:11" x14ac:dyDescent="0.25">
      <c r="A35" s="82">
        <v>11</v>
      </c>
      <c r="B35" s="82"/>
      <c r="C35" s="82"/>
      <c r="D35" s="82"/>
      <c r="E35" s="82"/>
      <c r="F35" s="83">
        <v>0.69699999999999995</v>
      </c>
      <c r="G35" s="83">
        <v>1.363</v>
      </c>
      <c r="H35" s="83">
        <v>1.796</v>
      </c>
      <c r="I35" s="83">
        <v>2.2010000000000001</v>
      </c>
      <c r="J35" s="83">
        <v>2.718</v>
      </c>
      <c r="K35" s="83">
        <v>3.1059999999999999</v>
      </c>
    </row>
    <row r="36" spans="1:11" x14ac:dyDescent="0.25">
      <c r="A36" s="82">
        <v>12</v>
      </c>
      <c r="B36" s="82"/>
      <c r="C36" s="82"/>
      <c r="D36" s="82"/>
      <c r="E36" s="82"/>
      <c r="F36" s="83">
        <v>0.69499999999999995</v>
      </c>
      <c r="G36" s="83">
        <v>1.3560000000000001</v>
      </c>
      <c r="H36" s="83">
        <v>1.782</v>
      </c>
      <c r="I36" s="83">
        <v>2.1789999999999998</v>
      </c>
      <c r="J36" s="83">
        <v>2.681</v>
      </c>
      <c r="K36" s="83">
        <v>3.0550000000000002</v>
      </c>
    </row>
    <row r="37" spans="1:11" x14ac:dyDescent="0.25">
      <c r="A37" s="82">
        <v>13</v>
      </c>
      <c r="B37" s="82"/>
      <c r="C37" s="82"/>
      <c r="D37" s="82"/>
      <c r="E37" s="82"/>
      <c r="F37" s="83">
        <v>0.69399999999999995</v>
      </c>
      <c r="G37" s="83">
        <v>1.35</v>
      </c>
      <c r="H37" s="83">
        <v>1.7709999999999999</v>
      </c>
      <c r="I37" s="83">
        <v>2.16</v>
      </c>
      <c r="J37" s="83">
        <v>2.65</v>
      </c>
      <c r="K37" s="83">
        <v>3.012</v>
      </c>
    </row>
    <row r="38" spans="1:11" x14ac:dyDescent="0.25">
      <c r="A38" s="82">
        <v>14</v>
      </c>
      <c r="B38" s="82"/>
      <c r="C38" s="82"/>
      <c r="D38" s="82"/>
      <c r="E38" s="82"/>
      <c r="F38" s="83">
        <v>0.69199999999999995</v>
      </c>
      <c r="G38" s="83">
        <v>1.345</v>
      </c>
      <c r="H38" s="83">
        <v>1.7609999999999999</v>
      </c>
      <c r="I38" s="83">
        <v>2.145</v>
      </c>
      <c r="J38" s="83">
        <v>2.6240000000000001</v>
      </c>
      <c r="K38" s="83">
        <v>2.9769999999999999</v>
      </c>
    </row>
    <row r="39" spans="1:11" x14ac:dyDescent="0.25">
      <c r="A39" s="82">
        <v>15</v>
      </c>
      <c r="B39" s="82"/>
      <c r="C39" s="82"/>
      <c r="D39" s="82"/>
      <c r="E39" s="82"/>
      <c r="F39" s="83">
        <v>0.69099999999999995</v>
      </c>
      <c r="G39" s="83">
        <v>1.341</v>
      </c>
      <c r="H39" s="83">
        <v>1.7529999999999999</v>
      </c>
      <c r="I39" s="83">
        <v>2.1309999999999998</v>
      </c>
      <c r="J39" s="83">
        <v>2.6019999999999999</v>
      </c>
      <c r="K39" s="83">
        <v>2.9470000000000001</v>
      </c>
    </row>
    <row r="40" spans="1:11" x14ac:dyDescent="0.25">
      <c r="A40" s="82">
        <v>16</v>
      </c>
      <c r="B40" s="82"/>
      <c r="C40" s="82"/>
      <c r="D40" s="82"/>
      <c r="E40" s="82"/>
      <c r="F40" s="83">
        <v>0.69</v>
      </c>
      <c r="G40" s="83">
        <v>1.337</v>
      </c>
      <c r="H40" s="83">
        <v>1.746</v>
      </c>
      <c r="I40" s="83">
        <v>2.12</v>
      </c>
      <c r="J40" s="83">
        <v>2.5830000000000002</v>
      </c>
      <c r="K40" s="83">
        <v>2.9209999999999998</v>
      </c>
    </row>
    <row r="41" spans="1:11" x14ac:dyDescent="0.25">
      <c r="A41" s="82">
        <v>17</v>
      </c>
      <c r="B41" s="82"/>
      <c r="C41" s="82"/>
      <c r="D41" s="82"/>
      <c r="E41" s="82"/>
      <c r="F41" s="83">
        <v>0.68899999999999995</v>
      </c>
      <c r="G41" s="83">
        <v>1.333</v>
      </c>
      <c r="H41" s="83">
        <v>1.74</v>
      </c>
      <c r="I41" s="83">
        <v>2.11</v>
      </c>
      <c r="J41" s="83">
        <v>2.5670000000000002</v>
      </c>
      <c r="K41" s="83">
        <v>2.8980000000000001</v>
      </c>
    </row>
    <row r="42" spans="1:11" x14ac:dyDescent="0.25">
      <c r="A42" s="82">
        <v>18</v>
      </c>
      <c r="B42" s="82"/>
      <c r="C42" s="82"/>
      <c r="D42" s="82"/>
      <c r="E42" s="82"/>
      <c r="F42" s="83">
        <v>0.68799999999999994</v>
      </c>
      <c r="G42" s="83">
        <v>1.33</v>
      </c>
      <c r="H42" s="83">
        <v>1.734</v>
      </c>
      <c r="I42" s="83">
        <v>2.101</v>
      </c>
      <c r="J42" s="83">
        <v>2.552</v>
      </c>
      <c r="K42" s="83">
        <v>2.8780000000000001</v>
      </c>
    </row>
    <row r="43" spans="1:11" x14ac:dyDescent="0.25">
      <c r="A43" s="82">
        <v>19</v>
      </c>
      <c r="B43" s="82"/>
      <c r="C43" s="82"/>
      <c r="D43" s="82"/>
      <c r="E43" s="82"/>
      <c r="F43" s="83">
        <v>0.68799999999999994</v>
      </c>
      <c r="G43" s="83">
        <v>1.3280000000000001</v>
      </c>
      <c r="H43" s="83">
        <v>1.7290000000000001</v>
      </c>
      <c r="I43" s="83">
        <v>2.093</v>
      </c>
      <c r="J43" s="83">
        <v>2.5390000000000001</v>
      </c>
      <c r="K43" s="83">
        <v>2.8610000000000002</v>
      </c>
    </row>
    <row r="44" spans="1:11" x14ac:dyDescent="0.25">
      <c r="A44" s="82">
        <v>20</v>
      </c>
      <c r="B44" s="82"/>
      <c r="C44" s="82"/>
      <c r="D44" s="82"/>
      <c r="E44" s="82"/>
      <c r="F44" s="83">
        <v>0.68700000000000006</v>
      </c>
      <c r="G44" s="83">
        <v>1.325</v>
      </c>
      <c r="H44" s="83">
        <v>1.7250000000000001</v>
      </c>
      <c r="I44" s="83">
        <v>2.0859999999999999</v>
      </c>
      <c r="J44" s="83">
        <v>2.528</v>
      </c>
      <c r="K44" s="83">
        <v>2.8450000000000002</v>
      </c>
    </row>
    <row r="45" spans="1:11" x14ac:dyDescent="0.25">
      <c r="A45" s="82">
        <v>21</v>
      </c>
      <c r="B45" s="82"/>
      <c r="C45" s="82"/>
      <c r="D45" s="82"/>
      <c r="E45" s="82"/>
      <c r="F45" s="83">
        <v>0.68600000000000005</v>
      </c>
      <c r="G45" s="83">
        <v>1.323</v>
      </c>
      <c r="H45" s="83">
        <v>1.7210000000000001</v>
      </c>
      <c r="I45" s="83">
        <v>2.08</v>
      </c>
      <c r="J45" s="83">
        <v>2.5179999999999998</v>
      </c>
      <c r="K45" s="83">
        <v>2.831</v>
      </c>
    </row>
    <row r="46" spans="1:11" x14ac:dyDescent="0.25">
      <c r="A46" s="82">
        <v>22</v>
      </c>
      <c r="B46" s="82"/>
      <c r="C46" s="82"/>
      <c r="D46" s="82"/>
      <c r="E46" s="82"/>
      <c r="F46" s="83">
        <v>0.68600000000000005</v>
      </c>
      <c r="G46" s="83">
        <v>1.321</v>
      </c>
      <c r="H46" s="83">
        <v>1.7170000000000001</v>
      </c>
      <c r="I46" s="83">
        <v>2.0739999999999998</v>
      </c>
      <c r="J46" s="83">
        <v>2.508</v>
      </c>
      <c r="K46" s="83">
        <v>2.819</v>
      </c>
    </row>
    <row r="47" spans="1:11" x14ac:dyDescent="0.25">
      <c r="A47" s="82">
        <v>23</v>
      </c>
      <c r="B47" s="82"/>
      <c r="C47" s="82"/>
      <c r="D47" s="82"/>
      <c r="E47" s="82"/>
      <c r="F47" s="83">
        <v>0.68500000000000005</v>
      </c>
      <c r="G47" s="83">
        <v>1.319</v>
      </c>
      <c r="H47" s="83">
        <v>1.714</v>
      </c>
      <c r="I47" s="83">
        <v>2.069</v>
      </c>
      <c r="J47" s="83">
        <v>2.5</v>
      </c>
      <c r="K47" s="83">
        <v>2.8069999999999999</v>
      </c>
    </row>
    <row r="48" spans="1:11" x14ac:dyDescent="0.25">
      <c r="A48" s="82">
        <v>24</v>
      </c>
      <c r="B48" s="82"/>
      <c r="C48" s="82"/>
      <c r="D48" s="82"/>
      <c r="E48" s="82"/>
      <c r="F48" s="83">
        <v>0.68500000000000005</v>
      </c>
      <c r="G48" s="83">
        <v>1.3180000000000001</v>
      </c>
      <c r="H48" s="83">
        <v>1.7110000000000001</v>
      </c>
      <c r="I48" s="83">
        <v>2.0640000000000001</v>
      </c>
      <c r="J48" s="83">
        <v>2.492</v>
      </c>
      <c r="K48" s="83">
        <v>2.7970000000000002</v>
      </c>
    </row>
    <row r="49" spans="1:11" x14ac:dyDescent="0.25">
      <c r="A49" s="82">
        <v>25</v>
      </c>
      <c r="B49" s="82"/>
      <c r="C49" s="82"/>
      <c r="D49" s="82"/>
      <c r="E49" s="82"/>
      <c r="F49" s="83">
        <v>0.68400000000000005</v>
      </c>
      <c r="G49" s="83">
        <v>1.3160000000000001</v>
      </c>
      <c r="H49" s="83">
        <v>1.708</v>
      </c>
      <c r="I49" s="83">
        <v>2.06</v>
      </c>
      <c r="J49" s="83">
        <v>2.4849999999999999</v>
      </c>
      <c r="K49" s="83">
        <v>2.7869999999999999</v>
      </c>
    </row>
    <row r="50" spans="1:11" x14ac:dyDescent="0.25">
      <c r="A50" s="82">
        <v>26</v>
      </c>
      <c r="B50" s="82"/>
      <c r="C50" s="82"/>
      <c r="D50" s="82"/>
      <c r="E50" s="82"/>
      <c r="F50" s="83">
        <v>0.68400000000000005</v>
      </c>
      <c r="G50" s="83">
        <v>1.3149999999999999</v>
      </c>
      <c r="H50" s="83">
        <v>1.706</v>
      </c>
      <c r="I50" s="83">
        <v>2.056</v>
      </c>
      <c r="J50" s="83">
        <v>2.4790000000000001</v>
      </c>
      <c r="K50" s="83">
        <v>2.7789999999999999</v>
      </c>
    </row>
    <row r="51" spans="1:11" x14ac:dyDescent="0.25">
      <c r="A51" s="82">
        <v>27</v>
      </c>
      <c r="B51" s="82"/>
      <c r="C51" s="82"/>
      <c r="D51" s="82"/>
      <c r="E51" s="82"/>
      <c r="F51" s="83">
        <v>0.68400000000000005</v>
      </c>
      <c r="G51" s="83">
        <v>1.3140000000000001</v>
      </c>
      <c r="H51" s="83">
        <v>1.7030000000000001</v>
      </c>
      <c r="I51" s="83">
        <v>2.052</v>
      </c>
      <c r="J51" s="83">
        <v>2.4729999999999999</v>
      </c>
      <c r="K51" s="83">
        <v>2.7709999999999999</v>
      </c>
    </row>
    <row r="52" spans="1:11" x14ac:dyDescent="0.25">
      <c r="A52" s="82">
        <v>28</v>
      </c>
      <c r="B52" s="82"/>
      <c r="C52" s="82"/>
      <c r="D52" s="82"/>
      <c r="E52" s="82"/>
      <c r="F52" s="83">
        <v>0.68300000000000005</v>
      </c>
      <c r="G52" s="83">
        <v>1.3129999999999999</v>
      </c>
      <c r="H52" s="83">
        <v>1.7010000000000001</v>
      </c>
      <c r="I52" s="83">
        <v>2.048</v>
      </c>
      <c r="J52" s="83">
        <v>2.4670000000000001</v>
      </c>
      <c r="K52" s="83">
        <v>2.7629999999999999</v>
      </c>
    </row>
    <row r="53" spans="1:11" x14ac:dyDescent="0.25">
      <c r="A53" s="82">
        <v>29</v>
      </c>
      <c r="B53" s="82"/>
      <c r="C53" s="82"/>
      <c r="D53" s="82"/>
      <c r="E53" s="82"/>
      <c r="F53" s="83">
        <v>0.68300000000000005</v>
      </c>
      <c r="G53" s="83">
        <v>1.3109999999999999</v>
      </c>
      <c r="H53" s="83">
        <v>1.6990000000000001</v>
      </c>
      <c r="I53" s="83">
        <v>2.0449999999999999</v>
      </c>
      <c r="J53" s="83">
        <v>2.4620000000000002</v>
      </c>
      <c r="K53" s="83">
        <v>2.7559999999999998</v>
      </c>
    </row>
    <row r="54" spans="1:11" x14ac:dyDescent="0.25">
      <c r="A54" s="82">
        <v>30</v>
      </c>
      <c r="B54" s="82"/>
      <c r="C54" s="82"/>
      <c r="D54" s="82"/>
      <c r="E54" s="82"/>
      <c r="F54" s="83">
        <v>0.67400000000000004</v>
      </c>
      <c r="G54" s="83">
        <v>1.282</v>
      </c>
      <c r="H54" s="83">
        <v>1.645</v>
      </c>
      <c r="I54" s="83">
        <v>1.96</v>
      </c>
      <c r="J54" s="83">
        <v>2.3260000000000001</v>
      </c>
      <c r="K54" s="83">
        <v>2.5760000000000001</v>
      </c>
    </row>
  </sheetData>
  <sortState ref="J2:J21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Permu-Combo-Binomial-Poisson</vt:lpstr>
      <vt:lpstr>Frequency and Probability Distr</vt:lpstr>
      <vt:lpstr>Norm Dist. &amp; Confidence &amp; Hypot</vt:lpstr>
      <vt:lpstr>Hypothesis Testing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Alluser</dc:creator>
  <cp:lastModifiedBy>mferry</cp:lastModifiedBy>
  <dcterms:created xsi:type="dcterms:W3CDTF">2011-11-10T16:42:18Z</dcterms:created>
  <dcterms:modified xsi:type="dcterms:W3CDTF">2011-12-13T16:23:46Z</dcterms:modified>
</cp:coreProperties>
</file>